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DAS\DAS Brasov 2025\02 INFO PUBLICE IN MEDIUL ONLINE\01. DATE PUBLICATE -SITE\DATE PUBLICATE\20 SCFB\14.08.2025\"/>
    </mc:Choice>
  </mc:AlternateContent>
  <xr:revisionPtr revIDLastSave="0" documentId="8_{32134986-7FCC-4DC9-ABF4-44345D19F92B}" xr6:coauthVersionLast="47" xr6:coauthVersionMax="47" xr10:uidLastSave="{00000000-0000-0000-0000-000000000000}"/>
  <bookViews>
    <workbookView xWindow="9765" yWindow="3345" windowWidth="19035" windowHeight="12135" tabRatio="500" firstSheet="15" activeTab="15" xr2:uid="{BEC96226-731A-4E52-B564-D2525AB65E89}"/>
  </bookViews>
  <sheets>
    <sheet name="68.04-PERS.VARSTNICE" sheetId="1" state="hidden" r:id="rId1"/>
    <sheet name="68.02.05 CUMULAT AP+SF.NIC" sheetId="22" state="hidden" r:id="rId2"/>
    <sheet name="68.02.05.02- AP+IND+RAT" sheetId="2" state="hidden" r:id="rId3"/>
    <sheet name="68.02.05.02 SF.NICOLAE" sheetId="8" state="hidden" r:id="rId4"/>
    <sheet name="68.06 centralizat" sheetId="3" state="hidden" r:id="rId5"/>
    <sheet name="ASTRA" sheetId="4" state="hidden" r:id="rId6"/>
    <sheet name="VIOLE. DOM" sheetId="5" state="hidden" r:id="rId7"/>
    <sheet name="CCI+CARIEREI" sheetId="6" state="hidden" r:id="rId8"/>
    <sheet name="68.12 CENTRALIZATOR" sheetId="7" state="hidden" r:id="rId9"/>
    <sheet name="CENTR. DE RECUP.MED." sheetId="9" state="hidden" r:id="rId10"/>
    <sheet name="68.15.01-AJ SOC" sheetId="10" state="hidden" r:id="rId11"/>
    <sheet name="68.15.02-CANTINA" sheetId="11" state="hidden" r:id="rId12"/>
    <sheet name="68.50.50 rest DAS+CPFA" sheetId="12" state="hidden" r:id="rId13"/>
    <sheet name="68.50.50.01-rest dss" sheetId="13" state="hidden" r:id="rId14"/>
    <sheet name="CPFA" sheetId="14" state="hidden" r:id="rId15"/>
    <sheet name="cumulat 6802" sheetId="15" r:id="rId16"/>
    <sheet name="cumulat 66" sheetId="16" state="hidden" r:id="rId17"/>
    <sheet name="cumulat 66.08 SAMUI+AMC" sheetId="17" state="hidden" r:id="rId18"/>
    <sheet name="SAMUI" sheetId="18" state="hidden" r:id="rId19"/>
    <sheet name="AMC" sheetId="19" state="hidden" r:id="rId20"/>
    <sheet name="CRM" sheetId="20" state="hidden" r:id="rId21"/>
  </sheets>
  <definedNames>
    <definedName name="__xlfn_SINGLE">NA()</definedName>
    <definedName name="_xlnm.Print_Area" localSheetId="1">'68.02.05 CUMULAT AP+SF.NIC'!$A$1:$M$144</definedName>
    <definedName name="_xlnm.Print_Area" localSheetId="2">'68.02.05.02- AP+IND+RAT'!$A$1:$M$144</definedName>
    <definedName name="_xlnm.Print_Area" localSheetId="3">'68.02.05.02 SF.NICOLAE'!$A$1:$M$144</definedName>
    <definedName name="_xlnm.Print_Area" localSheetId="0">'68.04-PERS.VARSTNICE'!$A$1:$M$144</definedName>
    <definedName name="_xlnm.Print_Area" localSheetId="4">'68.06 centralizat'!$A$1:$M$144</definedName>
    <definedName name="_xlnm.Print_Area" localSheetId="8">'68.12 CENTRALIZATOR'!$A$1:$N$144</definedName>
    <definedName name="_xlnm.Print_Area" localSheetId="10">'68.15.01-AJ SOC'!$A$1:$M$144</definedName>
    <definedName name="_xlnm.Print_Area" localSheetId="11">'68.15.02-CANTINA'!$A$1:$M$143</definedName>
    <definedName name="_xlnm.Print_Area" localSheetId="12">'68.50.50 rest DAS+CPFA'!$A$1:$N$145</definedName>
    <definedName name="_xlnm.Print_Area" localSheetId="13">'68.50.50.01-rest dss'!$A$1:$N$144</definedName>
    <definedName name="_xlnm.Print_Area" localSheetId="19">AMC!$A$1:$N$66</definedName>
    <definedName name="_xlnm.Print_Area" localSheetId="5">ASTRA!$A$1:$M$144</definedName>
    <definedName name="_xlnm.Print_Area" localSheetId="7">'CCI+CARIEREI'!$A$1:$M$144</definedName>
    <definedName name="_xlnm.Print_Area" localSheetId="14">CPFA!$A$1:$M$144</definedName>
    <definedName name="_xlnm.Print_Area" localSheetId="20">CRM!$A$1:$N$61</definedName>
    <definedName name="_xlnm.Print_Area" localSheetId="16">'cumulat 66'!$A$1:$N$96</definedName>
    <definedName name="_xlnm.Print_Area" localSheetId="17">'cumulat 66.08 SAMUI+AMC'!$A$1:$M$66</definedName>
    <definedName name="_xlnm.Print_Area" localSheetId="15">'cumulat 6802'!$A$1:$M$145</definedName>
    <definedName name="_xlnm.Print_Area" localSheetId="18">SAMUI!$A$1:$N$66</definedName>
    <definedName name="_xlnm.Print_Area" localSheetId="6">'VIOLE. DOM'!$A$1:$M$144</definedName>
  </definedNames>
  <calcPr calcId="191029"/>
</workbook>
</file>

<file path=xl/calcChain.xml><?xml version="1.0" encoding="utf-8"?>
<calcChain xmlns="http://schemas.openxmlformats.org/spreadsheetml/2006/main">
  <c r="K133" i="12" l="1"/>
  <c r="D135" i="13"/>
  <c r="I135" i="13"/>
  <c r="H135" i="13"/>
  <c r="I54" i="14"/>
  <c r="I32" i="14"/>
  <c r="I24" i="14"/>
  <c r="J21" i="14"/>
  <c r="I21" i="14"/>
  <c r="J17" i="14"/>
  <c r="I17" i="14"/>
  <c r="J16" i="14"/>
  <c r="I16" i="14"/>
  <c r="J79" i="13"/>
  <c r="I79" i="13"/>
  <c r="J70" i="13"/>
  <c r="I70" i="13"/>
  <c r="I54" i="13"/>
  <c r="I44" i="13"/>
  <c r="J18" i="13"/>
  <c r="I18" i="13"/>
  <c r="I17" i="13"/>
  <c r="J17" i="13"/>
  <c r="J32" i="6"/>
  <c r="I32" i="6"/>
  <c r="J17" i="6"/>
  <c r="I17" i="6"/>
  <c r="J16" i="6"/>
  <c r="I16" i="6"/>
  <c r="J17" i="5"/>
  <c r="I17" i="8"/>
  <c r="J17" i="8"/>
  <c r="J17" i="22" s="1"/>
  <c r="J79" i="1"/>
  <c r="I79" i="1"/>
  <c r="J70" i="1"/>
  <c r="I70" i="1"/>
  <c r="I139" i="13"/>
  <c r="I138" i="13"/>
  <c r="I136" i="13"/>
  <c r="I27" i="18"/>
  <c r="H25" i="18"/>
  <c r="J23" i="18"/>
  <c r="I22" i="18"/>
  <c r="I18" i="18"/>
  <c r="I17" i="18"/>
  <c r="I16" i="18"/>
  <c r="K132" i="13"/>
  <c r="L133" i="13"/>
  <c r="L133" i="12" s="1"/>
  <c r="M133" i="13"/>
  <c r="M133" i="12" s="1"/>
  <c r="G138" i="13"/>
  <c r="G135" i="13"/>
  <c r="F135" i="13" s="1"/>
  <c r="F135" i="12" s="1"/>
  <c r="J135" i="13"/>
  <c r="H61" i="8"/>
  <c r="G61" i="8"/>
  <c r="G61" i="22" s="1"/>
  <c r="G17" i="3"/>
  <c r="D26" i="1"/>
  <c r="E47" i="1"/>
  <c r="H67" i="14"/>
  <c r="H67" i="6"/>
  <c r="G66" i="14"/>
  <c r="I95" i="2"/>
  <c r="J95" i="2"/>
  <c r="J96" i="2"/>
  <c r="I82" i="13"/>
  <c r="I78" i="13" s="1"/>
  <c r="H82" i="13"/>
  <c r="J114" i="13"/>
  <c r="I114" i="13"/>
  <c r="H114" i="13"/>
  <c r="G114" i="13"/>
  <c r="J82" i="13"/>
  <c r="J48" i="6"/>
  <c r="H43" i="1"/>
  <c r="G43" i="1"/>
  <c r="G79" i="1"/>
  <c r="H79" i="1"/>
  <c r="J43" i="14"/>
  <c r="G79" i="13"/>
  <c r="I54" i="8"/>
  <c r="I54" i="6"/>
  <c r="J54" i="6"/>
  <c r="H54" i="5"/>
  <c r="I54" i="5"/>
  <c r="J54" i="5"/>
  <c r="G54" i="4"/>
  <c r="J54" i="1"/>
  <c r="I54" i="1"/>
  <c r="J54" i="14"/>
  <c r="J54" i="13"/>
  <c r="G78" i="13"/>
  <c r="G82" i="13"/>
  <c r="H62" i="14"/>
  <c r="H61" i="14"/>
  <c r="H55" i="14"/>
  <c r="G55" i="14"/>
  <c r="H51" i="14"/>
  <c r="H37" i="14"/>
  <c r="G62" i="13"/>
  <c r="G61" i="13"/>
  <c r="H55" i="13"/>
  <c r="G51" i="13"/>
  <c r="G37" i="13"/>
  <c r="I55" i="6"/>
  <c r="J55" i="6"/>
  <c r="G55" i="5"/>
  <c r="H55" i="5"/>
  <c r="G55" i="4"/>
  <c r="H62" i="8"/>
  <c r="G62" i="8"/>
  <c r="H55" i="8"/>
  <c r="G55" i="8"/>
  <c r="H51" i="8"/>
  <c r="G51" i="8"/>
  <c r="G41" i="8"/>
  <c r="H37" i="8"/>
  <c r="G37" i="8"/>
  <c r="H62" i="1"/>
  <c r="G61" i="1"/>
  <c r="H55" i="1"/>
  <c r="G55" i="1"/>
  <c r="H51" i="1"/>
  <c r="H41" i="1"/>
  <c r="H37" i="1"/>
  <c r="H79" i="13"/>
  <c r="J74" i="13"/>
  <c r="I74" i="13"/>
  <c r="I73" i="13"/>
  <c r="H73" i="13"/>
  <c r="G73" i="13"/>
  <c r="J71" i="13"/>
  <c r="I71" i="13"/>
  <c r="G57" i="13"/>
  <c r="H57" i="13"/>
  <c r="J45" i="13"/>
  <c r="I45" i="13"/>
  <c r="J44" i="13"/>
  <c r="H44" i="13"/>
  <c r="J43" i="13"/>
  <c r="I43" i="13"/>
  <c r="H43" i="13"/>
  <c r="J43" i="6"/>
  <c r="J44" i="5"/>
  <c r="J43" i="5"/>
  <c r="H43" i="4"/>
  <c r="J43" i="4"/>
  <c r="I43" i="4"/>
  <c r="I79" i="8"/>
  <c r="J79" i="8"/>
  <c r="H79" i="8"/>
  <c r="G79" i="8"/>
  <c r="J83" i="8"/>
  <c r="I83" i="8"/>
  <c r="H83" i="8"/>
  <c r="I44" i="8"/>
  <c r="J43" i="8"/>
  <c r="J43" i="22" s="1"/>
  <c r="J83" i="1"/>
  <c r="I83" i="1"/>
  <c r="H83" i="1"/>
  <c r="H78" i="1" s="1"/>
  <c r="J80" i="1"/>
  <c r="I80" i="1"/>
  <c r="H80" i="1"/>
  <c r="G80" i="1"/>
  <c r="G78" i="1" s="1"/>
  <c r="G76" i="1" s="1"/>
  <c r="J43" i="1"/>
  <c r="I43" i="1"/>
  <c r="I78" i="1"/>
  <c r="J78" i="1"/>
  <c r="J76" i="1" s="1"/>
  <c r="F25" i="1"/>
  <c r="J16" i="22"/>
  <c r="J18" i="22"/>
  <c r="J19" i="22"/>
  <c r="J20" i="22"/>
  <c r="J21" i="22"/>
  <c r="J22" i="22"/>
  <c r="J24" i="22"/>
  <c r="J25" i="22"/>
  <c r="J27" i="22"/>
  <c r="J28" i="22"/>
  <c r="J29" i="22"/>
  <c r="J30" i="22"/>
  <c r="J31" i="22"/>
  <c r="J32" i="22"/>
  <c r="J33" i="22"/>
  <c r="J37" i="22"/>
  <c r="J38" i="22"/>
  <c r="J39" i="22"/>
  <c r="J41" i="22"/>
  <c r="J42" i="22"/>
  <c r="J44" i="22"/>
  <c r="J45" i="22"/>
  <c r="J46" i="22"/>
  <c r="J48" i="22"/>
  <c r="J49" i="22"/>
  <c r="J51" i="22"/>
  <c r="J52" i="22"/>
  <c r="J54" i="22"/>
  <c r="J55" i="22"/>
  <c r="J56" i="22"/>
  <c r="J57" i="22"/>
  <c r="J58" i="22"/>
  <c r="J60" i="22"/>
  <c r="J61" i="22"/>
  <c r="J62" i="22"/>
  <c r="J63" i="22"/>
  <c r="J65" i="22"/>
  <c r="J66" i="22"/>
  <c r="J67" i="22"/>
  <c r="J68" i="22"/>
  <c r="J70" i="22"/>
  <c r="J71" i="22"/>
  <c r="J72" i="22"/>
  <c r="J73" i="22"/>
  <c r="J74" i="22"/>
  <c r="J75" i="22"/>
  <c r="J77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8" i="22"/>
  <c r="J109" i="22"/>
  <c r="J110" i="22"/>
  <c r="J111" i="22"/>
  <c r="J113" i="22"/>
  <c r="J114" i="22"/>
  <c r="J115" i="22"/>
  <c r="J116" i="22"/>
  <c r="J117" i="22"/>
  <c r="J119" i="22"/>
  <c r="J120" i="22"/>
  <c r="J121" i="22"/>
  <c r="J122" i="22"/>
  <c r="J123" i="22"/>
  <c r="J124" i="22"/>
  <c r="J125" i="22"/>
  <c r="J126" i="22"/>
  <c r="J127" i="22"/>
  <c r="J129" i="22"/>
  <c r="J129" i="15" s="1"/>
  <c r="J130" i="22"/>
  <c r="J130" i="15" s="1"/>
  <c r="J131" i="22"/>
  <c r="I16" i="22"/>
  <c r="I17" i="22"/>
  <c r="I18" i="22"/>
  <c r="I19" i="22"/>
  <c r="I20" i="22"/>
  <c r="I21" i="22"/>
  <c r="I22" i="22"/>
  <c r="I24" i="22"/>
  <c r="I25" i="22"/>
  <c r="I27" i="22"/>
  <c r="I28" i="22"/>
  <c r="I29" i="22"/>
  <c r="I30" i="22"/>
  <c r="I31" i="22"/>
  <c r="I32" i="22"/>
  <c r="I33" i="22"/>
  <c r="I37" i="22"/>
  <c r="I38" i="22"/>
  <c r="I39" i="22"/>
  <c r="I41" i="22"/>
  <c r="I42" i="22"/>
  <c r="I43" i="22"/>
  <c r="I44" i="22"/>
  <c r="I45" i="22"/>
  <c r="I46" i="22"/>
  <c r="I48" i="22"/>
  <c r="I49" i="22"/>
  <c r="I51" i="22"/>
  <c r="I52" i="22"/>
  <c r="I54" i="22"/>
  <c r="I55" i="22"/>
  <c r="I56" i="22"/>
  <c r="I57" i="22"/>
  <c r="I58" i="22"/>
  <c r="I60" i="22"/>
  <c r="I61" i="22"/>
  <c r="I62" i="22"/>
  <c r="I63" i="22"/>
  <c r="I65" i="22"/>
  <c r="I66" i="22"/>
  <c r="I67" i="22"/>
  <c r="I68" i="22"/>
  <c r="I70" i="22"/>
  <c r="I71" i="22"/>
  <c r="I72" i="22"/>
  <c r="I73" i="22"/>
  <c r="I74" i="22"/>
  <c r="I75" i="22"/>
  <c r="I77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5" i="22"/>
  <c r="I96" i="22"/>
  <c r="I97" i="22"/>
  <c r="I98" i="22"/>
  <c r="I99" i="22"/>
  <c r="I100" i="22"/>
  <c r="I101" i="22"/>
  <c r="I102" i="22"/>
  <c r="I103" i="22"/>
  <c r="I104" i="22"/>
  <c r="I105" i="22"/>
  <c r="I105" i="15" s="1"/>
  <c r="I106" i="22"/>
  <c r="I108" i="22"/>
  <c r="I109" i="22"/>
  <c r="I110" i="22"/>
  <c r="I111" i="22"/>
  <c r="I113" i="22"/>
  <c r="I114" i="22"/>
  <c r="I115" i="22"/>
  <c r="I116" i="22"/>
  <c r="I117" i="22"/>
  <c r="I119" i="22"/>
  <c r="I120" i="22"/>
  <c r="I121" i="22"/>
  <c r="I122" i="22"/>
  <c r="I123" i="22"/>
  <c r="I124" i="22"/>
  <c r="I125" i="22"/>
  <c r="I126" i="22"/>
  <c r="I127" i="22"/>
  <c r="I127" i="15" s="1"/>
  <c r="I129" i="22"/>
  <c r="I129" i="15"/>
  <c r="I130" i="22"/>
  <c r="I130" i="15" s="1"/>
  <c r="I131" i="22"/>
  <c r="H16" i="22"/>
  <c r="H17" i="22"/>
  <c r="H18" i="22"/>
  <c r="H19" i="22"/>
  <c r="H20" i="22"/>
  <c r="H21" i="22"/>
  <c r="H22" i="22"/>
  <c r="H24" i="22"/>
  <c r="H25" i="22"/>
  <c r="H27" i="22"/>
  <c r="H28" i="22"/>
  <c r="H29" i="22"/>
  <c r="H30" i="22"/>
  <c r="H31" i="22"/>
  <c r="H32" i="22"/>
  <c r="H33" i="22"/>
  <c r="H37" i="22"/>
  <c r="H38" i="22"/>
  <c r="H39" i="22"/>
  <c r="H41" i="22"/>
  <c r="H42" i="22"/>
  <c r="H43" i="22"/>
  <c r="H44" i="22"/>
  <c r="H45" i="22"/>
  <c r="H46" i="22"/>
  <c r="H48" i="22"/>
  <c r="H49" i="22"/>
  <c r="H51" i="22"/>
  <c r="H52" i="22"/>
  <c r="H54" i="22"/>
  <c r="H55" i="22"/>
  <c r="H56" i="22"/>
  <c r="H57" i="22"/>
  <c r="H58" i="22"/>
  <c r="H60" i="22"/>
  <c r="H61" i="22"/>
  <c r="H62" i="22"/>
  <c r="H63" i="22"/>
  <c r="H65" i="22"/>
  <c r="H66" i="22"/>
  <c r="H67" i="22"/>
  <c r="H68" i="22"/>
  <c r="H70" i="22"/>
  <c r="H71" i="22"/>
  <c r="H72" i="22"/>
  <c r="H73" i="22"/>
  <c r="H74" i="22"/>
  <c r="H75" i="22"/>
  <c r="H77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6" i="22"/>
  <c r="H97" i="22"/>
  <c r="H98" i="22"/>
  <c r="H99" i="22"/>
  <c r="H100" i="22"/>
  <c r="H101" i="22"/>
  <c r="H102" i="22"/>
  <c r="H103" i="22"/>
  <c r="H104" i="22"/>
  <c r="H105" i="22"/>
  <c r="H106" i="22"/>
  <c r="H108" i="22"/>
  <c r="H109" i="22"/>
  <c r="H110" i="22"/>
  <c r="H111" i="22"/>
  <c r="H113" i="22"/>
  <c r="H114" i="22"/>
  <c r="H115" i="22"/>
  <c r="H115" i="15" s="1"/>
  <c r="H116" i="22"/>
  <c r="H117" i="22"/>
  <c r="H119" i="22"/>
  <c r="H120" i="22"/>
  <c r="H121" i="22"/>
  <c r="H122" i="22"/>
  <c r="H123" i="22"/>
  <c r="H124" i="22"/>
  <c r="H125" i="22"/>
  <c r="H126" i="22"/>
  <c r="H127" i="22"/>
  <c r="H129" i="22"/>
  <c r="H129" i="15" s="1"/>
  <c r="H130" i="22"/>
  <c r="H130" i="15"/>
  <c r="H131" i="22"/>
  <c r="G17" i="22"/>
  <c r="G18" i="22"/>
  <c r="G19" i="22"/>
  <c r="G20" i="22"/>
  <c r="G21" i="22"/>
  <c r="G22" i="22"/>
  <c r="G24" i="22"/>
  <c r="G25" i="22"/>
  <c r="G27" i="22"/>
  <c r="G28" i="22"/>
  <c r="G29" i="22"/>
  <c r="G30" i="22"/>
  <c r="G31" i="22"/>
  <c r="G32" i="22"/>
  <c r="G33" i="22"/>
  <c r="G37" i="22"/>
  <c r="G38" i="22"/>
  <c r="G39" i="22"/>
  <c r="G41" i="22"/>
  <c r="G42" i="22"/>
  <c r="G43" i="22"/>
  <c r="G44" i="22"/>
  <c r="G45" i="22"/>
  <c r="G46" i="22"/>
  <c r="G48" i="22"/>
  <c r="G49" i="22"/>
  <c r="G51" i="22"/>
  <c r="G52" i="22"/>
  <c r="G54" i="22"/>
  <c r="G55" i="22"/>
  <c r="G56" i="22"/>
  <c r="G57" i="22"/>
  <c r="G58" i="22"/>
  <c r="G60" i="22"/>
  <c r="G62" i="22"/>
  <c r="G63" i="22"/>
  <c r="G65" i="22"/>
  <c r="G66" i="22"/>
  <c r="G67" i="22"/>
  <c r="G68" i="22"/>
  <c r="G70" i="22"/>
  <c r="G71" i="22"/>
  <c r="G72" i="22"/>
  <c r="G73" i="22"/>
  <c r="G74" i="22"/>
  <c r="G75" i="22"/>
  <c r="G77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6" i="22"/>
  <c r="G97" i="22"/>
  <c r="G98" i="22"/>
  <c r="G99" i="22"/>
  <c r="G100" i="22"/>
  <c r="G101" i="22"/>
  <c r="G102" i="22"/>
  <c r="G103" i="22"/>
  <c r="G104" i="22"/>
  <c r="G105" i="22"/>
  <c r="G106" i="22"/>
  <c r="G108" i="22"/>
  <c r="G109" i="22"/>
  <c r="G110" i="22"/>
  <c r="G111" i="22"/>
  <c r="G113" i="22"/>
  <c r="G114" i="22"/>
  <c r="G114" i="15" s="1"/>
  <c r="G115" i="22"/>
  <c r="G116" i="22"/>
  <c r="G117" i="22"/>
  <c r="G119" i="22"/>
  <c r="G120" i="22"/>
  <c r="G121" i="22"/>
  <c r="G122" i="22"/>
  <c r="G123" i="22"/>
  <c r="G124" i="22"/>
  <c r="G124" i="15" s="1"/>
  <c r="G125" i="22"/>
  <c r="G126" i="22"/>
  <c r="G127" i="22"/>
  <c r="G129" i="22"/>
  <c r="G129" i="15" s="1"/>
  <c r="G130" i="22"/>
  <c r="G130" i="15"/>
  <c r="G131" i="22"/>
  <c r="F22" i="22"/>
  <c r="F109" i="22"/>
  <c r="F110" i="22"/>
  <c r="F111" i="22"/>
  <c r="F113" i="22"/>
  <c r="F114" i="22"/>
  <c r="F115" i="22"/>
  <c r="F116" i="22"/>
  <c r="F119" i="22"/>
  <c r="F120" i="22"/>
  <c r="F121" i="22"/>
  <c r="F122" i="22"/>
  <c r="F123" i="22"/>
  <c r="F124" i="22"/>
  <c r="F125" i="22"/>
  <c r="F126" i="22"/>
  <c r="F127" i="22"/>
  <c r="E16" i="22"/>
  <c r="E17" i="22"/>
  <c r="E18" i="22"/>
  <c r="E19" i="22"/>
  <c r="E20" i="22"/>
  <c r="E21" i="22"/>
  <c r="E22" i="22"/>
  <c r="E24" i="22"/>
  <c r="E25" i="22"/>
  <c r="E27" i="22"/>
  <c r="E28" i="22"/>
  <c r="E29" i="22"/>
  <c r="E30" i="22"/>
  <c r="E31" i="22"/>
  <c r="E32" i="22"/>
  <c r="E33" i="22"/>
  <c r="E37" i="22"/>
  <c r="E38" i="22"/>
  <c r="E39" i="22"/>
  <c r="E41" i="22"/>
  <c r="E42" i="22"/>
  <c r="E43" i="22"/>
  <c r="E44" i="22"/>
  <c r="E45" i="22"/>
  <c r="E46" i="22"/>
  <c r="E48" i="22"/>
  <c r="E49" i="22"/>
  <c r="E51" i="22"/>
  <c r="E52" i="22"/>
  <c r="E54" i="22"/>
  <c r="E55" i="22"/>
  <c r="E56" i="22"/>
  <c r="E57" i="22"/>
  <c r="E58" i="22"/>
  <c r="E60" i="22"/>
  <c r="E61" i="22"/>
  <c r="E62" i="22"/>
  <c r="E63" i="22"/>
  <c r="E65" i="22"/>
  <c r="E67" i="22"/>
  <c r="E68" i="22"/>
  <c r="E69" i="22"/>
  <c r="E70" i="22"/>
  <c r="E71" i="22"/>
  <c r="E72" i="22"/>
  <c r="E73" i="22"/>
  <c r="E74" i="22"/>
  <c r="E75" i="22"/>
  <c r="E77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5" i="22"/>
  <c r="E96" i="22"/>
  <c r="E97" i="22"/>
  <c r="E98" i="22"/>
  <c r="E99" i="22"/>
  <c r="E100" i="22"/>
  <c r="E101" i="22"/>
  <c r="E102" i="22"/>
  <c r="E103" i="22"/>
  <c r="E104" i="22"/>
  <c r="E104" i="15" s="1"/>
  <c r="E105" i="22"/>
  <c r="E106" i="22"/>
  <c r="E108" i="22"/>
  <c r="E109" i="22"/>
  <c r="E110" i="22"/>
  <c r="E111" i="22"/>
  <c r="E112" i="22"/>
  <c r="E113" i="22"/>
  <c r="E114" i="22"/>
  <c r="E115" i="22"/>
  <c r="E116" i="22"/>
  <c r="E117" i="22"/>
  <c r="E119" i="22"/>
  <c r="E120" i="22"/>
  <c r="E121" i="22"/>
  <c r="E122" i="22"/>
  <c r="E123" i="22"/>
  <c r="E124" i="22"/>
  <c r="E125" i="22"/>
  <c r="E126" i="22"/>
  <c r="E127" i="22"/>
  <c r="E129" i="22"/>
  <c r="E129" i="15" s="1"/>
  <c r="E130" i="22"/>
  <c r="E130" i="15"/>
  <c r="E131" i="22"/>
  <c r="E131" i="15" s="1"/>
  <c r="D16" i="22"/>
  <c r="D17" i="22"/>
  <c r="D18" i="22"/>
  <c r="D19" i="22"/>
  <c r="D20" i="22"/>
  <c r="D21" i="22"/>
  <c r="D22" i="22"/>
  <c r="D24" i="22"/>
  <c r="D25" i="22"/>
  <c r="D27" i="22"/>
  <c r="D28" i="22"/>
  <c r="D29" i="22"/>
  <c r="D30" i="22"/>
  <c r="D31" i="22"/>
  <c r="D32" i="22"/>
  <c r="D33" i="22"/>
  <c r="D37" i="22"/>
  <c r="D38" i="22"/>
  <c r="D39" i="22"/>
  <c r="D41" i="22"/>
  <c r="D42" i="22"/>
  <c r="D43" i="22"/>
  <c r="D44" i="22"/>
  <c r="D45" i="22"/>
  <c r="D46" i="22"/>
  <c r="D48" i="22"/>
  <c r="D49" i="22"/>
  <c r="D51" i="22"/>
  <c r="D52" i="22"/>
  <c r="D54" i="22"/>
  <c r="D55" i="22"/>
  <c r="D56" i="22"/>
  <c r="D57" i="22"/>
  <c r="D58" i="22"/>
  <c r="D60" i="22"/>
  <c r="D61" i="22"/>
  <c r="D62" i="22"/>
  <c r="D63" i="22"/>
  <c r="D65" i="22"/>
  <c r="D67" i="22"/>
  <c r="D68" i="22"/>
  <c r="D70" i="22"/>
  <c r="D71" i="22"/>
  <c r="D72" i="22"/>
  <c r="D73" i="22"/>
  <c r="D74" i="22"/>
  <c r="D75" i="22"/>
  <c r="D77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8" i="22"/>
  <c r="D108" i="15" s="1"/>
  <c r="D109" i="22"/>
  <c r="D110" i="22"/>
  <c r="D111" i="22"/>
  <c r="D112" i="22"/>
  <c r="D113" i="22"/>
  <c r="D114" i="22"/>
  <c r="D115" i="22"/>
  <c r="D116" i="22"/>
  <c r="D116" i="15" s="1"/>
  <c r="D117" i="22"/>
  <c r="D119" i="22"/>
  <c r="D120" i="22"/>
  <c r="D121" i="22"/>
  <c r="D122" i="22"/>
  <c r="D123" i="22"/>
  <c r="D124" i="22"/>
  <c r="D125" i="22"/>
  <c r="D126" i="22"/>
  <c r="D127" i="22"/>
  <c r="D129" i="22"/>
  <c r="D129" i="15" s="1"/>
  <c r="D130" i="22"/>
  <c r="D130" i="15" s="1"/>
  <c r="D131" i="22"/>
  <c r="D131" i="15" s="1"/>
  <c r="J134" i="22"/>
  <c r="J133" i="22"/>
  <c r="J132" i="22" s="1"/>
  <c r="I134" i="22"/>
  <c r="I133" i="22" s="1"/>
  <c r="I132" i="22" s="1"/>
  <c r="H134" i="22"/>
  <c r="G134" i="22"/>
  <c r="G133" i="22" s="1"/>
  <c r="G132" i="22" s="1"/>
  <c r="F134" i="22"/>
  <c r="F133" i="22"/>
  <c r="F132" i="22" s="1"/>
  <c r="H133" i="22"/>
  <c r="H132" i="22" s="1"/>
  <c r="G47" i="2"/>
  <c r="H47" i="2"/>
  <c r="I47" i="2"/>
  <c r="J47" i="2"/>
  <c r="E47" i="2"/>
  <c r="D78" i="13"/>
  <c r="D76" i="13" s="1"/>
  <c r="E78" i="13"/>
  <c r="D78" i="8"/>
  <c r="E78" i="8"/>
  <c r="D78" i="6"/>
  <c r="D76" i="6" s="1"/>
  <c r="E78" i="6"/>
  <c r="D78" i="5"/>
  <c r="D76" i="5" s="1"/>
  <c r="E78" i="5"/>
  <c r="E76" i="5" s="1"/>
  <c r="D78" i="4"/>
  <c r="E78" i="4"/>
  <c r="E76" i="4" s="1"/>
  <c r="D76" i="4"/>
  <c r="D76" i="3" s="1"/>
  <c r="H136" i="13"/>
  <c r="G78" i="4"/>
  <c r="E16" i="12"/>
  <c r="H43" i="12"/>
  <c r="J16" i="13"/>
  <c r="H17" i="13"/>
  <c r="I16" i="13"/>
  <c r="H16" i="13"/>
  <c r="I32" i="13"/>
  <c r="H32" i="13"/>
  <c r="J32" i="13"/>
  <c r="F16" i="13"/>
  <c r="G76" i="13"/>
  <c r="H78" i="13"/>
  <c r="H76" i="13"/>
  <c r="I76" i="13"/>
  <c r="J78" i="13"/>
  <c r="F79" i="13"/>
  <c r="F79" i="12"/>
  <c r="F79" i="8"/>
  <c r="H78" i="4"/>
  <c r="H76" i="4" s="1"/>
  <c r="I78" i="4"/>
  <c r="I76" i="4" s="1"/>
  <c r="J78" i="4"/>
  <c r="F81" i="4"/>
  <c r="F82" i="4"/>
  <c r="F81" i="6"/>
  <c r="H78" i="5"/>
  <c r="H76" i="5" s="1"/>
  <c r="I78" i="5"/>
  <c r="I76" i="5" s="1"/>
  <c r="J78" i="5"/>
  <c r="J76" i="5" s="1"/>
  <c r="G78" i="5"/>
  <c r="G76" i="5" s="1"/>
  <c r="F79" i="5"/>
  <c r="F80" i="5"/>
  <c r="F79" i="3"/>
  <c r="F80" i="3"/>
  <c r="G54" i="1"/>
  <c r="G16" i="2"/>
  <c r="G16" i="22" s="1"/>
  <c r="H95" i="2"/>
  <c r="H95" i="22" s="1"/>
  <c r="G95" i="2"/>
  <c r="G95" i="22" s="1"/>
  <c r="F83" i="13"/>
  <c r="F83" i="12" s="1"/>
  <c r="H66" i="1"/>
  <c r="E57" i="20"/>
  <c r="E56" i="20" s="1"/>
  <c r="E55" i="20" s="1"/>
  <c r="F83" i="8"/>
  <c r="F80" i="8"/>
  <c r="G78" i="8"/>
  <c r="G76" i="8"/>
  <c r="H78" i="8"/>
  <c r="I78" i="8"/>
  <c r="I76" i="8" s="1"/>
  <c r="J78" i="8"/>
  <c r="J76" i="8" s="1"/>
  <c r="J76" i="7" s="1"/>
  <c r="F79" i="1"/>
  <c r="F78" i="1" s="1"/>
  <c r="G100" i="13"/>
  <c r="F58" i="14"/>
  <c r="F44" i="14"/>
  <c r="H67" i="1"/>
  <c r="F84" i="13"/>
  <c r="F84" i="12" s="1"/>
  <c r="I23" i="6"/>
  <c r="F83" i="6"/>
  <c r="F84" i="6"/>
  <c r="F85" i="6"/>
  <c r="F86" i="6"/>
  <c r="G78" i="6"/>
  <c r="G76" i="6"/>
  <c r="H78" i="6"/>
  <c r="H76" i="6" s="1"/>
  <c r="I78" i="6"/>
  <c r="I76" i="6"/>
  <c r="J78" i="6"/>
  <c r="I59" i="5"/>
  <c r="J59" i="5"/>
  <c r="G59" i="5"/>
  <c r="F63" i="4"/>
  <c r="F65" i="4"/>
  <c r="F66" i="4"/>
  <c r="F67" i="4"/>
  <c r="F68" i="4"/>
  <c r="F70" i="4"/>
  <c r="F70" i="3" s="1"/>
  <c r="F71" i="4"/>
  <c r="I50" i="4"/>
  <c r="J50" i="4"/>
  <c r="G50" i="4"/>
  <c r="I47" i="4"/>
  <c r="J47" i="4"/>
  <c r="G47" i="4"/>
  <c r="F33" i="2"/>
  <c r="F33" i="22" s="1"/>
  <c r="F37" i="2"/>
  <c r="F38" i="2"/>
  <c r="F38" i="22" s="1"/>
  <c r="F39" i="2"/>
  <c r="F39" i="22" s="1"/>
  <c r="F41" i="2"/>
  <c r="F42" i="2"/>
  <c r="F42" i="22" s="1"/>
  <c r="F43" i="2"/>
  <c r="F44" i="2"/>
  <c r="F45" i="2"/>
  <c r="F45" i="22" s="1"/>
  <c r="F46" i="2"/>
  <c r="F46" i="22" s="1"/>
  <c r="F48" i="2"/>
  <c r="F47" i="2" s="1"/>
  <c r="F49" i="2"/>
  <c r="F49" i="22" s="1"/>
  <c r="F51" i="2"/>
  <c r="F52" i="2"/>
  <c r="F52" i="22" s="1"/>
  <c r="F54" i="2"/>
  <c r="F55" i="2"/>
  <c r="F56" i="2"/>
  <c r="F56" i="22" s="1"/>
  <c r="F57" i="2"/>
  <c r="F57" i="22" s="1"/>
  <c r="F58" i="2"/>
  <c r="F60" i="2"/>
  <c r="F60" i="22" s="1"/>
  <c r="F61" i="2"/>
  <c r="F62" i="2"/>
  <c r="F63" i="2"/>
  <c r="F63" i="22" s="1"/>
  <c r="F65" i="2"/>
  <c r="F66" i="2"/>
  <c r="F66" i="22" s="1"/>
  <c r="F67" i="2"/>
  <c r="F68" i="2"/>
  <c r="F70" i="2"/>
  <c r="F70" i="22" s="1"/>
  <c r="F71" i="2"/>
  <c r="F71" i="22" s="1"/>
  <c r="F72" i="2"/>
  <c r="F72" i="22" s="1"/>
  <c r="F73" i="2"/>
  <c r="F73" i="22" s="1"/>
  <c r="F74" i="2"/>
  <c r="F74" i="22" s="1"/>
  <c r="F75" i="2"/>
  <c r="F75" i="22" s="1"/>
  <c r="F77" i="2"/>
  <c r="F79" i="2"/>
  <c r="F80" i="2"/>
  <c r="F81" i="2"/>
  <c r="F81" i="22" s="1"/>
  <c r="F82" i="2"/>
  <c r="F82" i="22" s="1"/>
  <c r="F83" i="2"/>
  <c r="F83" i="22" s="1"/>
  <c r="F84" i="2"/>
  <c r="F84" i="22" s="1"/>
  <c r="F85" i="2"/>
  <c r="F85" i="22" s="1"/>
  <c r="F86" i="2"/>
  <c r="F86" i="22" s="1"/>
  <c r="F87" i="2"/>
  <c r="F87" i="22" s="1"/>
  <c r="F88" i="2"/>
  <c r="F88" i="22" s="1"/>
  <c r="F89" i="2"/>
  <c r="F89" i="22" s="1"/>
  <c r="F90" i="2"/>
  <c r="F90" i="22" s="1"/>
  <c r="F91" i="2"/>
  <c r="F91" i="22" s="1"/>
  <c r="F95" i="2"/>
  <c r="F95" i="22" s="1"/>
  <c r="F96" i="2"/>
  <c r="F96" i="22" s="1"/>
  <c r="F97" i="2"/>
  <c r="F97" i="22" s="1"/>
  <c r="F98" i="2"/>
  <c r="F98" i="22" s="1"/>
  <c r="F99" i="2"/>
  <c r="F99" i="22" s="1"/>
  <c r="F100" i="2"/>
  <c r="F100" i="22" s="1"/>
  <c r="F101" i="2"/>
  <c r="F101" i="22" s="1"/>
  <c r="F102" i="2"/>
  <c r="F102" i="22" s="1"/>
  <c r="F103" i="2"/>
  <c r="F103" i="22" s="1"/>
  <c r="F104" i="2"/>
  <c r="F104" i="22" s="1"/>
  <c r="F105" i="2"/>
  <c r="F105" i="22" s="1"/>
  <c r="F106" i="2"/>
  <c r="F106" i="22" s="1"/>
  <c r="F108" i="2"/>
  <c r="F108" i="22" s="1"/>
  <c r="F81" i="1"/>
  <c r="F82" i="1"/>
  <c r="F83" i="1"/>
  <c r="F84" i="1"/>
  <c r="F85" i="1"/>
  <c r="F86" i="1"/>
  <c r="F87" i="1"/>
  <c r="F88" i="1"/>
  <c r="F89" i="1"/>
  <c r="F90" i="1"/>
  <c r="F94" i="1"/>
  <c r="F95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2" i="1"/>
  <c r="F113" i="1"/>
  <c r="F114" i="1"/>
  <c r="F115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4" i="1"/>
  <c r="F135" i="1"/>
  <c r="F136" i="1"/>
  <c r="F137" i="1"/>
  <c r="F138" i="1"/>
  <c r="F80" i="1"/>
  <c r="H53" i="1"/>
  <c r="I53" i="1"/>
  <c r="J53" i="1"/>
  <c r="D78" i="14"/>
  <c r="E78" i="14"/>
  <c r="E76" i="14" s="1"/>
  <c r="E15" i="13"/>
  <c r="F66" i="8"/>
  <c r="E66" i="8" s="1"/>
  <c r="F65" i="6"/>
  <c r="F66" i="6"/>
  <c r="D64" i="6"/>
  <c r="E64" i="6"/>
  <c r="D26" i="6"/>
  <c r="E26" i="6"/>
  <c r="D69" i="6"/>
  <c r="E69" i="6"/>
  <c r="E69" i="3" s="1"/>
  <c r="F69" i="6"/>
  <c r="E64" i="5"/>
  <c r="E64" i="3" s="1"/>
  <c r="D64" i="4"/>
  <c r="E64" i="4"/>
  <c r="D78" i="2"/>
  <c r="E78" i="2"/>
  <c r="D45" i="18"/>
  <c r="E45" i="18"/>
  <c r="D47" i="1"/>
  <c r="D58" i="18"/>
  <c r="D47" i="14"/>
  <c r="E59" i="8"/>
  <c r="E59" i="22" s="1"/>
  <c r="D59" i="8"/>
  <c r="D59" i="22"/>
  <c r="F32" i="13"/>
  <c r="I23" i="8"/>
  <c r="H24" i="18"/>
  <c r="F22" i="19"/>
  <c r="D47" i="2"/>
  <c r="K16" i="16"/>
  <c r="L16" i="16"/>
  <c r="M16" i="16"/>
  <c r="D17" i="16"/>
  <c r="E17" i="16"/>
  <c r="G17" i="16"/>
  <c r="H17" i="16"/>
  <c r="I17" i="16"/>
  <c r="J17" i="16"/>
  <c r="K17" i="16"/>
  <c r="L17" i="16"/>
  <c r="M17" i="16"/>
  <c r="D18" i="16"/>
  <c r="E18" i="16"/>
  <c r="G18" i="16"/>
  <c r="H18" i="16"/>
  <c r="I18" i="16"/>
  <c r="J18" i="16"/>
  <c r="K18" i="16"/>
  <c r="L18" i="16"/>
  <c r="M18" i="16"/>
  <c r="D19" i="16"/>
  <c r="E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G21" i="16"/>
  <c r="H21" i="16"/>
  <c r="I21" i="16"/>
  <c r="J21" i="16"/>
  <c r="K21" i="16"/>
  <c r="L21" i="16"/>
  <c r="M21" i="16"/>
  <c r="D22" i="16"/>
  <c r="E22" i="16"/>
  <c r="G22" i="16"/>
  <c r="H22" i="16"/>
  <c r="I22" i="16"/>
  <c r="J22" i="16"/>
  <c r="K22" i="16"/>
  <c r="L22" i="16"/>
  <c r="M22" i="16"/>
  <c r="D23" i="16"/>
  <c r="E23" i="16"/>
  <c r="G23" i="16"/>
  <c r="H23" i="16"/>
  <c r="I23" i="16"/>
  <c r="J23" i="16"/>
  <c r="K23" i="16"/>
  <c r="L23" i="16"/>
  <c r="M23" i="16"/>
  <c r="D24" i="16"/>
  <c r="E24" i="16"/>
  <c r="G24" i="16"/>
  <c r="H24" i="16"/>
  <c r="I24" i="16"/>
  <c r="J24" i="16"/>
  <c r="K24" i="16"/>
  <c r="L24" i="16"/>
  <c r="M24" i="16"/>
  <c r="K25" i="16"/>
  <c r="L25" i="16"/>
  <c r="M25" i="16"/>
  <c r="D26" i="16"/>
  <c r="E26" i="16"/>
  <c r="G26" i="16"/>
  <c r="H26" i="16"/>
  <c r="I26" i="16"/>
  <c r="J26" i="16"/>
  <c r="K26" i="16"/>
  <c r="L26" i="16"/>
  <c r="M26" i="16"/>
  <c r="K27" i="16"/>
  <c r="L27" i="16"/>
  <c r="M27" i="16"/>
  <c r="D28" i="16"/>
  <c r="E28" i="16"/>
  <c r="G28" i="16"/>
  <c r="H28" i="16"/>
  <c r="I28" i="16"/>
  <c r="J28" i="16"/>
  <c r="K28" i="16"/>
  <c r="L28" i="16"/>
  <c r="M28" i="16"/>
  <c r="K30" i="16"/>
  <c r="L30" i="16"/>
  <c r="M30" i="16"/>
  <c r="D31" i="16"/>
  <c r="F31" i="16"/>
  <c r="G31" i="16"/>
  <c r="H31" i="16"/>
  <c r="I31" i="16"/>
  <c r="J31" i="16"/>
  <c r="K31" i="16"/>
  <c r="L31" i="16"/>
  <c r="M31" i="16"/>
  <c r="D32" i="16"/>
  <c r="F32" i="16"/>
  <c r="G32" i="16"/>
  <c r="H32" i="16"/>
  <c r="I32" i="16"/>
  <c r="J32" i="16"/>
  <c r="K32" i="16"/>
  <c r="L32" i="16"/>
  <c r="M32" i="16"/>
  <c r="D33" i="16"/>
  <c r="G33" i="16"/>
  <c r="H33" i="16"/>
  <c r="I33" i="16"/>
  <c r="J33" i="16"/>
  <c r="K33" i="16"/>
  <c r="L33" i="16"/>
  <c r="M33" i="16"/>
  <c r="D34" i="16"/>
  <c r="G34" i="16"/>
  <c r="H34" i="16"/>
  <c r="I34" i="16"/>
  <c r="J34" i="16"/>
  <c r="K34" i="16"/>
  <c r="L34" i="16"/>
  <c r="M34" i="16"/>
  <c r="D35" i="16"/>
  <c r="G35" i="16"/>
  <c r="H35" i="16"/>
  <c r="I35" i="16"/>
  <c r="J35" i="16"/>
  <c r="K35" i="16"/>
  <c r="L35" i="16"/>
  <c r="M35" i="16"/>
  <c r="D36" i="16"/>
  <c r="G36" i="16"/>
  <c r="H36" i="16"/>
  <c r="I36" i="16"/>
  <c r="J36" i="16"/>
  <c r="K36" i="16"/>
  <c r="L36" i="16"/>
  <c r="M36" i="16"/>
  <c r="D37" i="16"/>
  <c r="G37" i="16"/>
  <c r="H37" i="16"/>
  <c r="I37" i="16"/>
  <c r="J37" i="16"/>
  <c r="K37" i="16"/>
  <c r="L37" i="16"/>
  <c r="M37" i="16"/>
  <c r="D38" i="16"/>
  <c r="G38" i="16"/>
  <c r="H38" i="16"/>
  <c r="I38" i="16"/>
  <c r="J38" i="16"/>
  <c r="K38" i="16"/>
  <c r="L38" i="16"/>
  <c r="M38" i="16"/>
  <c r="D39" i="16"/>
  <c r="G39" i="16"/>
  <c r="H39" i="16"/>
  <c r="I39" i="16"/>
  <c r="J39" i="16"/>
  <c r="K39" i="16"/>
  <c r="L39" i="16"/>
  <c r="M39" i="16"/>
  <c r="D40" i="16"/>
  <c r="F40" i="16"/>
  <c r="G40" i="16"/>
  <c r="H40" i="16"/>
  <c r="I40" i="16"/>
  <c r="J40" i="16"/>
  <c r="K40" i="16"/>
  <c r="L40" i="16"/>
  <c r="M40" i="16"/>
  <c r="D41" i="16"/>
  <c r="F41" i="16"/>
  <c r="G41" i="16"/>
  <c r="H41" i="16"/>
  <c r="I41" i="16"/>
  <c r="J41" i="16"/>
  <c r="K41" i="16"/>
  <c r="L41" i="16"/>
  <c r="M41" i="16"/>
  <c r="K42" i="16"/>
  <c r="L42" i="16"/>
  <c r="M42" i="16"/>
  <c r="D43" i="16"/>
  <c r="G43" i="16"/>
  <c r="H43" i="16"/>
  <c r="I43" i="16"/>
  <c r="J43" i="16"/>
  <c r="K43" i="16"/>
  <c r="L43" i="16"/>
  <c r="M43" i="16"/>
  <c r="D44" i="16"/>
  <c r="G44" i="16"/>
  <c r="H44" i="16"/>
  <c r="I44" i="16"/>
  <c r="J44" i="16"/>
  <c r="K44" i="16"/>
  <c r="L44" i="16"/>
  <c r="M44" i="16"/>
  <c r="D45" i="16"/>
  <c r="G45" i="16"/>
  <c r="H45" i="16"/>
  <c r="I45" i="16"/>
  <c r="J45" i="16"/>
  <c r="K45" i="16"/>
  <c r="L45" i="16"/>
  <c r="M45" i="16"/>
  <c r="D46" i="16"/>
  <c r="K46" i="16"/>
  <c r="L46" i="16"/>
  <c r="M46" i="16"/>
  <c r="D47" i="16"/>
  <c r="G47" i="16"/>
  <c r="H47" i="16"/>
  <c r="I47" i="16"/>
  <c r="J47" i="16"/>
  <c r="K47" i="16"/>
  <c r="L47" i="16"/>
  <c r="M47" i="16"/>
  <c r="D48" i="16"/>
  <c r="G48" i="16"/>
  <c r="H48" i="16"/>
  <c r="I48" i="16"/>
  <c r="J48" i="16"/>
  <c r="K48" i="16"/>
  <c r="L48" i="16"/>
  <c r="M48" i="16"/>
  <c r="D49" i="16"/>
  <c r="G49" i="16"/>
  <c r="H49" i="16"/>
  <c r="I49" i="16"/>
  <c r="J49" i="16"/>
  <c r="K49" i="16"/>
  <c r="L49" i="16"/>
  <c r="M49" i="16"/>
  <c r="D50" i="16"/>
  <c r="F50" i="16"/>
  <c r="G50" i="16"/>
  <c r="H50" i="16"/>
  <c r="I50" i="16"/>
  <c r="J50" i="16"/>
  <c r="K50" i="16"/>
  <c r="L50" i="16"/>
  <c r="M50" i="16"/>
  <c r="D51" i="16"/>
  <c r="F51" i="16"/>
  <c r="G51" i="16"/>
  <c r="H51" i="16"/>
  <c r="I51" i="16"/>
  <c r="J51" i="16"/>
  <c r="K51" i="16"/>
  <c r="L51" i="16"/>
  <c r="M51" i="16"/>
  <c r="D52" i="16"/>
  <c r="F52" i="16"/>
  <c r="G52" i="16"/>
  <c r="H52" i="16"/>
  <c r="I52" i="16"/>
  <c r="J52" i="16"/>
  <c r="K52" i="16"/>
  <c r="L52" i="16"/>
  <c r="M52" i="16"/>
  <c r="D53" i="16"/>
  <c r="F53" i="16"/>
  <c r="G53" i="16"/>
  <c r="H53" i="16"/>
  <c r="I53" i="16"/>
  <c r="J53" i="16"/>
  <c r="K53" i="16"/>
  <c r="L53" i="16"/>
  <c r="M53" i="16"/>
  <c r="D54" i="16"/>
  <c r="F54" i="16"/>
  <c r="G54" i="16"/>
  <c r="H54" i="16"/>
  <c r="I54" i="16"/>
  <c r="J54" i="16"/>
  <c r="K54" i="16"/>
  <c r="L54" i="16"/>
  <c r="M54" i="16"/>
  <c r="D55" i="16"/>
  <c r="F55" i="16"/>
  <c r="G55" i="16"/>
  <c r="H55" i="16"/>
  <c r="I55" i="16"/>
  <c r="J55" i="16"/>
  <c r="K55" i="16"/>
  <c r="L55" i="16"/>
  <c r="M55" i="16"/>
  <c r="D56" i="16"/>
  <c r="F56" i="16"/>
  <c r="G56" i="16"/>
  <c r="H56" i="16"/>
  <c r="I56" i="16"/>
  <c r="J56" i="16"/>
  <c r="K56" i="16"/>
  <c r="L56" i="16"/>
  <c r="M56" i="16"/>
  <c r="D57" i="16"/>
  <c r="K57" i="16"/>
  <c r="L57" i="16"/>
  <c r="M57" i="16"/>
  <c r="D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G60" i="16"/>
  <c r="H60" i="16"/>
  <c r="I60" i="16"/>
  <c r="J60" i="16"/>
  <c r="K60" i="16"/>
  <c r="L60" i="16"/>
  <c r="M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M62" i="16"/>
  <c r="D63" i="16"/>
  <c r="E63" i="16"/>
  <c r="F63" i="16"/>
  <c r="G63" i="16"/>
  <c r="H63" i="16"/>
  <c r="I63" i="16"/>
  <c r="J63" i="16"/>
  <c r="K63" i="16"/>
  <c r="L63" i="16"/>
  <c r="M63" i="16"/>
  <c r="D64" i="16"/>
  <c r="E64" i="16"/>
  <c r="F64" i="16"/>
  <c r="G64" i="16"/>
  <c r="H64" i="16"/>
  <c r="I64" i="16"/>
  <c r="J64" i="16"/>
  <c r="K64" i="16"/>
  <c r="L64" i="16"/>
  <c r="M64" i="16"/>
  <c r="D65" i="16"/>
  <c r="E65" i="16"/>
  <c r="F65" i="16"/>
  <c r="G65" i="16"/>
  <c r="H65" i="16"/>
  <c r="I65" i="16"/>
  <c r="J65" i="16"/>
  <c r="K65" i="16"/>
  <c r="L65" i="16"/>
  <c r="M65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D69" i="16"/>
  <c r="E69" i="16"/>
  <c r="F69" i="16"/>
  <c r="G69" i="16"/>
  <c r="H69" i="16"/>
  <c r="I69" i="16"/>
  <c r="J69" i="16"/>
  <c r="K69" i="16"/>
  <c r="L69" i="16"/>
  <c r="M69" i="16"/>
  <c r="D70" i="16"/>
  <c r="E70" i="16"/>
  <c r="F70" i="16"/>
  <c r="G70" i="16"/>
  <c r="H70" i="16"/>
  <c r="I70" i="16"/>
  <c r="J70" i="16"/>
  <c r="K70" i="16"/>
  <c r="L70" i="16"/>
  <c r="M70" i="16"/>
  <c r="D71" i="16"/>
  <c r="E71" i="16"/>
  <c r="F71" i="16"/>
  <c r="G71" i="16"/>
  <c r="H71" i="16"/>
  <c r="I71" i="16"/>
  <c r="J71" i="16"/>
  <c r="K71" i="16"/>
  <c r="L71" i="16"/>
  <c r="M71" i="16"/>
  <c r="D72" i="16"/>
  <c r="E72" i="16"/>
  <c r="F72" i="16"/>
  <c r="G72" i="16"/>
  <c r="H72" i="16"/>
  <c r="I72" i="16"/>
  <c r="J72" i="16"/>
  <c r="K72" i="16"/>
  <c r="L72" i="16"/>
  <c r="M72" i="16"/>
  <c r="D73" i="16"/>
  <c r="E73" i="16"/>
  <c r="G73" i="16"/>
  <c r="H73" i="16"/>
  <c r="I73" i="16"/>
  <c r="J73" i="16"/>
  <c r="K73" i="16"/>
  <c r="L73" i="16"/>
  <c r="M73" i="16"/>
  <c r="D74" i="16"/>
  <c r="E74" i="16"/>
  <c r="F74" i="16"/>
  <c r="G74" i="16"/>
  <c r="H74" i="16"/>
  <c r="I74" i="16"/>
  <c r="J74" i="16"/>
  <c r="K74" i="16"/>
  <c r="L74" i="16"/>
  <c r="M74" i="16"/>
  <c r="D75" i="16"/>
  <c r="E75" i="16"/>
  <c r="F75" i="16"/>
  <c r="G75" i="16"/>
  <c r="H75" i="16"/>
  <c r="I75" i="16"/>
  <c r="J75" i="16"/>
  <c r="K75" i="16"/>
  <c r="L75" i="16"/>
  <c r="M75" i="16"/>
  <c r="D76" i="16"/>
  <c r="E76" i="16"/>
  <c r="F76" i="16"/>
  <c r="G76" i="16"/>
  <c r="H76" i="16"/>
  <c r="I76" i="16"/>
  <c r="J76" i="16"/>
  <c r="K76" i="16"/>
  <c r="L76" i="16"/>
  <c r="M76" i="16"/>
  <c r="D77" i="16"/>
  <c r="E77" i="16"/>
  <c r="F77" i="16"/>
  <c r="G77" i="16"/>
  <c r="H77" i="16"/>
  <c r="I77" i="16"/>
  <c r="J77" i="16"/>
  <c r="K77" i="16"/>
  <c r="L77" i="16"/>
  <c r="M77" i="16"/>
  <c r="D78" i="16"/>
  <c r="E78" i="16"/>
  <c r="F78" i="16"/>
  <c r="G78" i="16"/>
  <c r="H78" i="16"/>
  <c r="I78" i="16"/>
  <c r="J78" i="16"/>
  <c r="K78" i="16"/>
  <c r="L78" i="16"/>
  <c r="M78" i="16"/>
  <c r="D79" i="16"/>
  <c r="E79" i="16"/>
  <c r="F79" i="16"/>
  <c r="G79" i="16"/>
  <c r="H79" i="16"/>
  <c r="I79" i="16"/>
  <c r="J79" i="16"/>
  <c r="K79" i="16"/>
  <c r="L79" i="16"/>
  <c r="M79" i="16"/>
  <c r="D80" i="16"/>
  <c r="E80" i="16"/>
  <c r="F80" i="16"/>
  <c r="G80" i="16"/>
  <c r="H80" i="16"/>
  <c r="I80" i="16"/>
  <c r="J80" i="16"/>
  <c r="K80" i="16"/>
  <c r="L80" i="16"/>
  <c r="M80" i="16"/>
  <c r="D81" i="16"/>
  <c r="E81" i="16"/>
  <c r="F81" i="16"/>
  <c r="G81" i="16"/>
  <c r="H81" i="16"/>
  <c r="I81" i="16"/>
  <c r="J81" i="16"/>
  <c r="K81" i="16"/>
  <c r="L81" i="16"/>
  <c r="M81" i="16"/>
  <c r="D82" i="16"/>
  <c r="E82" i="16"/>
  <c r="F82" i="16"/>
  <c r="G82" i="16"/>
  <c r="H82" i="16"/>
  <c r="I82" i="16"/>
  <c r="J82" i="16"/>
  <c r="K82" i="16"/>
  <c r="L82" i="16"/>
  <c r="M82" i="16"/>
  <c r="D83" i="16"/>
  <c r="E83" i="16"/>
  <c r="F83" i="16"/>
  <c r="G83" i="16"/>
  <c r="H83" i="16"/>
  <c r="I83" i="16"/>
  <c r="J83" i="16"/>
  <c r="K83" i="16"/>
  <c r="L83" i="16"/>
  <c r="M83" i="16"/>
  <c r="D84" i="16"/>
  <c r="E84" i="16"/>
  <c r="F84" i="16"/>
  <c r="G84" i="16"/>
  <c r="H84" i="16"/>
  <c r="I84" i="16"/>
  <c r="J84" i="16"/>
  <c r="K84" i="16"/>
  <c r="L84" i="16"/>
  <c r="M84" i="16"/>
  <c r="D85" i="16"/>
  <c r="E85" i="16"/>
  <c r="F85" i="16"/>
  <c r="G85" i="16"/>
  <c r="H85" i="16"/>
  <c r="I85" i="16"/>
  <c r="J85" i="16"/>
  <c r="K85" i="16"/>
  <c r="L85" i="16"/>
  <c r="M85" i="16"/>
  <c r="D86" i="16"/>
  <c r="E86" i="16"/>
  <c r="F86" i="16"/>
  <c r="G86" i="16"/>
  <c r="H86" i="16"/>
  <c r="I86" i="16"/>
  <c r="J86" i="16"/>
  <c r="K86" i="16"/>
  <c r="L86" i="16"/>
  <c r="M86" i="16"/>
  <c r="D87" i="16"/>
  <c r="E87" i="16"/>
  <c r="F87" i="16"/>
  <c r="G87" i="16"/>
  <c r="H87" i="16"/>
  <c r="I87" i="16"/>
  <c r="J87" i="16"/>
  <c r="K87" i="16"/>
  <c r="L87" i="16"/>
  <c r="M87" i="16"/>
  <c r="K61" i="17"/>
  <c r="K91" i="16" s="1"/>
  <c r="F62" i="19"/>
  <c r="F61" i="19"/>
  <c r="F60" i="19" s="1"/>
  <c r="F59" i="19" s="1"/>
  <c r="J61" i="19"/>
  <c r="I61" i="19"/>
  <c r="I60" i="19"/>
  <c r="I59" i="19" s="1"/>
  <c r="H61" i="19"/>
  <c r="H60" i="19"/>
  <c r="H59" i="19"/>
  <c r="G61" i="19"/>
  <c r="E61" i="19"/>
  <c r="D61" i="19"/>
  <c r="D60" i="19"/>
  <c r="D59" i="19" s="1"/>
  <c r="M60" i="19"/>
  <c r="M59" i="19" s="1"/>
  <c r="M58" i="19" s="1"/>
  <c r="L60" i="19"/>
  <c r="K60" i="19"/>
  <c r="K59" i="19" s="1"/>
  <c r="K58" i="19"/>
  <c r="J60" i="19"/>
  <c r="J59" i="19" s="1"/>
  <c r="G60" i="19"/>
  <c r="G59" i="19"/>
  <c r="E60" i="19"/>
  <c r="E59" i="19" s="1"/>
  <c r="L59" i="19"/>
  <c r="L58" i="19"/>
  <c r="J58" i="19"/>
  <c r="I58" i="19"/>
  <c r="H58" i="19"/>
  <c r="G58" i="19"/>
  <c r="E58" i="19"/>
  <c r="D58" i="19"/>
  <c r="K15" i="17"/>
  <c r="L15" i="17"/>
  <c r="M15" i="17"/>
  <c r="D16" i="17"/>
  <c r="E16" i="17"/>
  <c r="G16" i="17"/>
  <c r="H16" i="17"/>
  <c r="I16" i="17"/>
  <c r="J16" i="17"/>
  <c r="K16" i="17"/>
  <c r="L16" i="17"/>
  <c r="M16" i="17"/>
  <c r="D17" i="17"/>
  <c r="E17" i="17"/>
  <c r="G17" i="17"/>
  <c r="H17" i="17"/>
  <c r="I17" i="17"/>
  <c r="J17" i="17"/>
  <c r="K17" i="17"/>
  <c r="L17" i="17"/>
  <c r="M17" i="17"/>
  <c r="D18" i="17"/>
  <c r="E18" i="17"/>
  <c r="G18" i="17"/>
  <c r="H18" i="17"/>
  <c r="I18" i="17"/>
  <c r="J18" i="17"/>
  <c r="K18" i="17"/>
  <c r="L18" i="17"/>
  <c r="M18" i="17"/>
  <c r="D19" i="17"/>
  <c r="E19" i="17"/>
  <c r="F19" i="17"/>
  <c r="G19" i="17"/>
  <c r="H19" i="17"/>
  <c r="I19" i="17"/>
  <c r="J19" i="17"/>
  <c r="K19" i="17"/>
  <c r="L19" i="17"/>
  <c r="M19" i="17"/>
  <c r="D20" i="17"/>
  <c r="E20" i="17"/>
  <c r="G20" i="17"/>
  <c r="H20" i="17"/>
  <c r="I20" i="17"/>
  <c r="J20" i="17"/>
  <c r="K20" i="17"/>
  <c r="L20" i="17"/>
  <c r="M20" i="17"/>
  <c r="D21" i="17"/>
  <c r="E21" i="17"/>
  <c r="G21" i="17"/>
  <c r="H21" i="17"/>
  <c r="I21" i="17"/>
  <c r="J21" i="17"/>
  <c r="K21" i="17"/>
  <c r="L21" i="17"/>
  <c r="M21" i="17"/>
  <c r="D22" i="17"/>
  <c r="E22" i="17"/>
  <c r="G22" i="17"/>
  <c r="H22" i="17"/>
  <c r="I22" i="17"/>
  <c r="J22" i="17"/>
  <c r="K22" i="17"/>
  <c r="L22" i="17"/>
  <c r="M22" i="17"/>
  <c r="D23" i="17"/>
  <c r="E23" i="17"/>
  <c r="G23" i="17"/>
  <c r="H23" i="17"/>
  <c r="I23" i="17"/>
  <c r="J23" i="17"/>
  <c r="K23" i="17"/>
  <c r="L23" i="17"/>
  <c r="M23" i="17"/>
  <c r="K24" i="17"/>
  <c r="L24" i="17"/>
  <c r="M24" i="17"/>
  <c r="D25" i="17"/>
  <c r="E25" i="17"/>
  <c r="G25" i="17"/>
  <c r="H25" i="17"/>
  <c r="I25" i="17"/>
  <c r="J25" i="17"/>
  <c r="K25" i="17"/>
  <c r="L25" i="17"/>
  <c r="M25" i="17"/>
  <c r="K26" i="17"/>
  <c r="L26" i="17"/>
  <c r="M26" i="17"/>
  <c r="D27" i="17"/>
  <c r="E27" i="17"/>
  <c r="G27" i="17"/>
  <c r="H27" i="17"/>
  <c r="I27" i="17"/>
  <c r="J27" i="17"/>
  <c r="K27" i="17"/>
  <c r="L27" i="17"/>
  <c r="M27" i="17"/>
  <c r="K29" i="17"/>
  <c r="L29" i="17"/>
  <c r="M29" i="17"/>
  <c r="D30" i="17"/>
  <c r="E30" i="17"/>
  <c r="F30" i="17"/>
  <c r="G30" i="17"/>
  <c r="H30" i="17"/>
  <c r="I30" i="17"/>
  <c r="J30" i="17"/>
  <c r="K30" i="17"/>
  <c r="L30" i="17"/>
  <c r="M30" i="17"/>
  <c r="D31" i="17"/>
  <c r="E31" i="17"/>
  <c r="F31" i="17"/>
  <c r="G31" i="17"/>
  <c r="H31" i="17"/>
  <c r="I31" i="17"/>
  <c r="J31" i="17"/>
  <c r="K31" i="17"/>
  <c r="L31" i="17"/>
  <c r="M31" i="17"/>
  <c r="D32" i="17"/>
  <c r="E32" i="17"/>
  <c r="F32" i="17"/>
  <c r="G32" i="17"/>
  <c r="H32" i="17"/>
  <c r="I32" i="17"/>
  <c r="J32" i="17"/>
  <c r="K32" i="17"/>
  <c r="L32" i="17"/>
  <c r="M32" i="17"/>
  <c r="D33" i="17"/>
  <c r="E33" i="17"/>
  <c r="F33" i="17"/>
  <c r="G33" i="17"/>
  <c r="H33" i="17"/>
  <c r="I33" i="17"/>
  <c r="J33" i="17"/>
  <c r="K33" i="17"/>
  <c r="L33" i="17"/>
  <c r="M33" i="17"/>
  <c r="D34" i="17"/>
  <c r="E34" i="17"/>
  <c r="F34" i="17"/>
  <c r="G34" i="17"/>
  <c r="H34" i="17"/>
  <c r="I34" i="17"/>
  <c r="J34" i="17"/>
  <c r="K34" i="17"/>
  <c r="L34" i="17"/>
  <c r="M34" i="17"/>
  <c r="D35" i="17"/>
  <c r="E35" i="17"/>
  <c r="F35" i="17"/>
  <c r="G35" i="17"/>
  <c r="H35" i="17"/>
  <c r="I35" i="17"/>
  <c r="J35" i="17"/>
  <c r="K35" i="17"/>
  <c r="L35" i="17"/>
  <c r="M35" i="17"/>
  <c r="D36" i="17"/>
  <c r="E36" i="17"/>
  <c r="F36" i="17"/>
  <c r="G36" i="17"/>
  <c r="H36" i="17"/>
  <c r="I36" i="17"/>
  <c r="J36" i="17"/>
  <c r="K36" i="17"/>
  <c r="L36" i="17"/>
  <c r="M36" i="17"/>
  <c r="D37" i="17"/>
  <c r="E37" i="17"/>
  <c r="F37" i="17"/>
  <c r="G37" i="17"/>
  <c r="H37" i="17"/>
  <c r="I37" i="17"/>
  <c r="J37" i="17"/>
  <c r="K37" i="17"/>
  <c r="L37" i="17"/>
  <c r="M37" i="17"/>
  <c r="D38" i="17"/>
  <c r="E38" i="17"/>
  <c r="F38" i="17"/>
  <c r="G38" i="17"/>
  <c r="H38" i="17"/>
  <c r="I38" i="17"/>
  <c r="J38" i="17"/>
  <c r="K38" i="17"/>
  <c r="L38" i="17"/>
  <c r="M38" i="17"/>
  <c r="D39" i="17"/>
  <c r="E39" i="17"/>
  <c r="F39" i="17"/>
  <c r="G39" i="17"/>
  <c r="H39" i="17"/>
  <c r="I39" i="17"/>
  <c r="J39" i="17"/>
  <c r="K39" i="17"/>
  <c r="L39" i="17"/>
  <c r="M39" i="17"/>
  <c r="D40" i="17"/>
  <c r="E40" i="17"/>
  <c r="F40" i="17"/>
  <c r="G40" i="17"/>
  <c r="H40" i="17"/>
  <c r="I40" i="17"/>
  <c r="J40" i="17"/>
  <c r="K40" i="17"/>
  <c r="L40" i="17"/>
  <c r="M40" i="17"/>
  <c r="K41" i="17"/>
  <c r="L41" i="17"/>
  <c r="M41" i="17"/>
  <c r="D42" i="17"/>
  <c r="E42" i="17"/>
  <c r="G42" i="17"/>
  <c r="H42" i="17"/>
  <c r="I42" i="17"/>
  <c r="J42" i="17"/>
  <c r="K42" i="17"/>
  <c r="L42" i="17"/>
  <c r="M42" i="17"/>
  <c r="D43" i="17"/>
  <c r="E43" i="17"/>
  <c r="G43" i="17"/>
  <c r="H43" i="17"/>
  <c r="I43" i="17"/>
  <c r="J43" i="17"/>
  <c r="K43" i="17"/>
  <c r="L43" i="17"/>
  <c r="M43" i="17"/>
  <c r="D44" i="17"/>
  <c r="E44" i="17"/>
  <c r="G44" i="17"/>
  <c r="H44" i="17"/>
  <c r="I44" i="17"/>
  <c r="J44" i="17"/>
  <c r="K44" i="17"/>
  <c r="L44" i="17"/>
  <c r="M44" i="17"/>
  <c r="D45" i="17"/>
  <c r="E45" i="17"/>
  <c r="K45" i="17"/>
  <c r="L45" i="17"/>
  <c r="M45" i="17"/>
  <c r="D46" i="17"/>
  <c r="E46" i="17"/>
  <c r="F46" i="17"/>
  <c r="G46" i="17"/>
  <c r="H46" i="17"/>
  <c r="I46" i="17"/>
  <c r="J46" i="17"/>
  <c r="K46" i="17"/>
  <c r="L46" i="17"/>
  <c r="M46" i="17"/>
  <c r="D47" i="17"/>
  <c r="E47" i="17"/>
  <c r="F47" i="17"/>
  <c r="G47" i="17"/>
  <c r="H47" i="17"/>
  <c r="I47" i="17"/>
  <c r="J47" i="17"/>
  <c r="K47" i="17"/>
  <c r="L47" i="17"/>
  <c r="M47" i="17"/>
  <c r="D48" i="17"/>
  <c r="E48" i="17"/>
  <c r="G48" i="17"/>
  <c r="H48" i="17"/>
  <c r="I48" i="17"/>
  <c r="J48" i="17"/>
  <c r="K48" i="17"/>
  <c r="L48" i="17"/>
  <c r="M48" i="17"/>
  <c r="D49" i="17"/>
  <c r="E49" i="17"/>
  <c r="F49" i="17"/>
  <c r="G49" i="17"/>
  <c r="H49" i="17"/>
  <c r="I49" i="17"/>
  <c r="J49" i="17"/>
  <c r="K49" i="17"/>
  <c r="L49" i="17"/>
  <c r="M49" i="17"/>
  <c r="D50" i="17"/>
  <c r="E50" i="17"/>
  <c r="F50" i="17"/>
  <c r="G50" i="17"/>
  <c r="H50" i="17"/>
  <c r="I50" i="17"/>
  <c r="J50" i="17"/>
  <c r="K50" i="17"/>
  <c r="L50" i="17"/>
  <c r="M50" i="17"/>
  <c r="D51" i="17"/>
  <c r="E51" i="17"/>
  <c r="F51" i="17"/>
  <c r="G51" i="17"/>
  <c r="H51" i="17"/>
  <c r="I51" i="17"/>
  <c r="J51" i="17"/>
  <c r="K51" i="17"/>
  <c r="L51" i="17"/>
  <c r="M51" i="17"/>
  <c r="D52" i="17"/>
  <c r="E52" i="17"/>
  <c r="F52" i="17"/>
  <c r="G52" i="17"/>
  <c r="H52" i="17"/>
  <c r="I52" i="17"/>
  <c r="J52" i="17"/>
  <c r="K52" i="17"/>
  <c r="L52" i="17"/>
  <c r="M52" i="17"/>
  <c r="D53" i="17"/>
  <c r="E53" i="17"/>
  <c r="F53" i="17"/>
  <c r="G53" i="17"/>
  <c r="H53" i="17"/>
  <c r="I53" i="17"/>
  <c r="J53" i="17"/>
  <c r="K53" i="17"/>
  <c r="L53" i="17"/>
  <c r="M53" i="17"/>
  <c r="D54" i="17"/>
  <c r="E54" i="17"/>
  <c r="F54" i="17"/>
  <c r="G54" i="17"/>
  <c r="H54" i="17"/>
  <c r="I54" i="17"/>
  <c r="J54" i="17"/>
  <c r="K54" i="17"/>
  <c r="L54" i="17"/>
  <c r="M54" i="17"/>
  <c r="D55" i="17"/>
  <c r="E55" i="17"/>
  <c r="F55" i="17"/>
  <c r="G55" i="17"/>
  <c r="H55" i="17"/>
  <c r="I55" i="17"/>
  <c r="J55" i="17"/>
  <c r="K55" i="17"/>
  <c r="L55" i="17"/>
  <c r="M55" i="17"/>
  <c r="D56" i="17"/>
  <c r="E56" i="17"/>
  <c r="K56" i="17"/>
  <c r="L56" i="17"/>
  <c r="M56" i="17"/>
  <c r="D57" i="17"/>
  <c r="E57" i="17"/>
  <c r="G57" i="17"/>
  <c r="H57" i="17"/>
  <c r="I57" i="17"/>
  <c r="J57" i="17"/>
  <c r="K57" i="17"/>
  <c r="L57" i="17"/>
  <c r="M57" i="17"/>
  <c r="D58" i="17"/>
  <c r="D88" i="16" s="1"/>
  <c r="D61" i="17"/>
  <c r="D91" i="16" s="1"/>
  <c r="L61" i="17"/>
  <c r="L91" i="16"/>
  <c r="M61" i="17"/>
  <c r="M91" i="16" s="1"/>
  <c r="D62" i="17"/>
  <c r="D92" i="16"/>
  <c r="E62" i="17"/>
  <c r="E92" i="16" s="1"/>
  <c r="G62" i="17"/>
  <c r="G92" i="16"/>
  <c r="H62" i="17"/>
  <c r="H92" i="16" s="1"/>
  <c r="I62" i="17"/>
  <c r="I92" i="16" s="1"/>
  <c r="J62" i="17"/>
  <c r="J92" i="16" s="1"/>
  <c r="K62" i="17"/>
  <c r="K92" i="16"/>
  <c r="L62" i="17"/>
  <c r="L92" i="16" s="1"/>
  <c r="M62" i="17"/>
  <c r="M92" i="16"/>
  <c r="K60" i="18"/>
  <c r="K60" i="17"/>
  <c r="K90" i="16" s="1"/>
  <c r="L60" i="18"/>
  <c r="M60" i="18"/>
  <c r="K59" i="18"/>
  <c r="K59" i="17"/>
  <c r="K89" i="16"/>
  <c r="J58" i="18"/>
  <c r="J58" i="17" s="1"/>
  <c r="J88" i="16"/>
  <c r="I58" i="18"/>
  <c r="I58" i="17" s="1"/>
  <c r="I88" i="16" s="1"/>
  <c r="H58" i="18"/>
  <c r="H58" i="17" s="1"/>
  <c r="H88" i="16"/>
  <c r="G58" i="18"/>
  <c r="G58" i="17" s="1"/>
  <c r="G88" i="16" s="1"/>
  <c r="E58" i="18"/>
  <c r="E58" i="17"/>
  <c r="E88" i="16"/>
  <c r="G61" i="18"/>
  <c r="G61" i="17"/>
  <c r="G91" i="16"/>
  <c r="H61" i="18"/>
  <c r="H61" i="17" s="1"/>
  <c r="H91" i="16" s="1"/>
  <c r="I61" i="18"/>
  <c r="I61" i="17" s="1"/>
  <c r="I91" i="16" s="1"/>
  <c r="I60" i="18"/>
  <c r="I59" i="18" s="1"/>
  <c r="I59" i="17"/>
  <c r="I89" i="16" s="1"/>
  <c r="J61" i="18"/>
  <c r="J61" i="17" s="1"/>
  <c r="J91" i="16"/>
  <c r="D61" i="18"/>
  <c r="D60" i="18" s="1"/>
  <c r="D59" i="18" s="1"/>
  <c r="D59" i="17" s="1"/>
  <c r="D89" i="16" s="1"/>
  <c r="E61" i="18"/>
  <c r="E61" i="17" s="1"/>
  <c r="E91" i="16" s="1"/>
  <c r="F62" i="18"/>
  <c r="F62" i="17"/>
  <c r="F92" i="16" s="1"/>
  <c r="E15" i="14"/>
  <c r="H15" i="14"/>
  <c r="I15" i="14"/>
  <c r="J15" i="14"/>
  <c r="G15" i="14"/>
  <c r="E21" i="12"/>
  <c r="G21" i="12"/>
  <c r="H21" i="12"/>
  <c r="I21" i="12"/>
  <c r="J21" i="12"/>
  <c r="E22" i="12"/>
  <c r="E22" i="15" s="1"/>
  <c r="G22" i="12"/>
  <c r="H22" i="12"/>
  <c r="I22" i="12"/>
  <c r="J22" i="12"/>
  <c r="D22" i="12"/>
  <c r="D22" i="15" s="1"/>
  <c r="G15" i="13"/>
  <c r="G15" i="12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G16" i="12"/>
  <c r="G17" i="12"/>
  <c r="G17" i="15" s="1"/>
  <c r="G18" i="12"/>
  <c r="G19" i="12"/>
  <c r="G20" i="12"/>
  <c r="D16" i="12"/>
  <c r="D17" i="12"/>
  <c r="E17" i="12"/>
  <c r="D18" i="12"/>
  <c r="E18" i="12"/>
  <c r="D19" i="12"/>
  <c r="E19" i="12"/>
  <c r="D20" i="12"/>
  <c r="E20" i="12"/>
  <c r="D21" i="12"/>
  <c r="D24" i="12"/>
  <c r="E24" i="12"/>
  <c r="G24" i="12"/>
  <c r="H24" i="12"/>
  <c r="I24" i="12"/>
  <c r="J24" i="12"/>
  <c r="D27" i="12"/>
  <c r="E27" i="12"/>
  <c r="G27" i="12"/>
  <c r="H27" i="12"/>
  <c r="I27" i="12"/>
  <c r="J27" i="12"/>
  <c r="D28" i="12"/>
  <c r="E28" i="12"/>
  <c r="G28" i="12"/>
  <c r="H28" i="12"/>
  <c r="I28" i="12"/>
  <c r="J28" i="12"/>
  <c r="D29" i="12"/>
  <c r="E29" i="12"/>
  <c r="E29" i="15"/>
  <c r="G29" i="12"/>
  <c r="H29" i="12"/>
  <c r="I29" i="12"/>
  <c r="J29" i="12"/>
  <c r="D30" i="12"/>
  <c r="E30" i="12"/>
  <c r="G30" i="12"/>
  <c r="H30" i="12"/>
  <c r="I30" i="12"/>
  <c r="J30" i="12"/>
  <c r="D31" i="12"/>
  <c r="E31" i="12"/>
  <c r="G31" i="12"/>
  <c r="H31" i="12"/>
  <c r="I31" i="12"/>
  <c r="J31" i="12"/>
  <c r="D32" i="12"/>
  <c r="E32" i="12"/>
  <c r="G32" i="12"/>
  <c r="H32" i="12"/>
  <c r="I32" i="12"/>
  <c r="J32" i="12"/>
  <c r="D33" i="12"/>
  <c r="E33" i="12"/>
  <c r="G33" i="12"/>
  <c r="H33" i="12"/>
  <c r="I33" i="12"/>
  <c r="J33" i="12"/>
  <c r="D37" i="12"/>
  <c r="E37" i="12"/>
  <c r="G37" i="12"/>
  <c r="H37" i="12"/>
  <c r="I37" i="12"/>
  <c r="J37" i="12"/>
  <c r="D38" i="12"/>
  <c r="E38" i="12"/>
  <c r="G38" i="12"/>
  <c r="H38" i="12"/>
  <c r="I38" i="12"/>
  <c r="J38" i="12"/>
  <c r="D39" i="12"/>
  <c r="E39" i="12"/>
  <c r="G39" i="12"/>
  <c r="H39" i="12"/>
  <c r="I39" i="12"/>
  <c r="J39" i="12"/>
  <c r="D41" i="12"/>
  <c r="E41" i="12"/>
  <c r="G41" i="12"/>
  <c r="H41" i="12"/>
  <c r="I41" i="12"/>
  <c r="J41" i="12"/>
  <c r="D42" i="12"/>
  <c r="E42" i="12"/>
  <c r="G42" i="12"/>
  <c r="H42" i="12"/>
  <c r="I42" i="12"/>
  <c r="J42" i="12"/>
  <c r="D43" i="12"/>
  <c r="E43" i="12"/>
  <c r="G43" i="12"/>
  <c r="I43" i="12"/>
  <c r="J43" i="12"/>
  <c r="D44" i="12"/>
  <c r="E44" i="12"/>
  <c r="G44" i="12"/>
  <c r="H44" i="12"/>
  <c r="I44" i="12"/>
  <c r="J44" i="12"/>
  <c r="D45" i="12"/>
  <c r="E45" i="12"/>
  <c r="G45" i="12"/>
  <c r="H45" i="12"/>
  <c r="I45" i="12"/>
  <c r="J45" i="12"/>
  <c r="D46" i="12"/>
  <c r="E46" i="12"/>
  <c r="G46" i="12"/>
  <c r="H46" i="12"/>
  <c r="I46" i="12"/>
  <c r="J46" i="12"/>
  <c r="D48" i="12"/>
  <c r="E48" i="12"/>
  <c r="G48" i="12"/>
  <c r="H48" i="12"/>
  <c r="I48" i="12"/>
  <c r="J48" i="12"/>
  <c r="D49" i="12"/>
  <c r="E49" i="12"/>
  <c r="G49" i="12"/>
  <c r="H49" i="12"/>
  <c r="I49" i="12"/>
  <c r="J49" i="12"/>
  <c r="D51" i="12"/>
  <c r="E51" i="12"/>
  <c r="G51" i="12"/>
  <c r="H51" i="12"/>
  <c r="I51" i="12"/>
  <c r="J51" i="12"/>
  <c r="D52" i="12"/>
  <c r="E52" i="12"/>
  <c r="G52" i="12"/>
  <c r="H52" i="12"/>
  <c r="I52" i="12"/>
  <c r="J52" i="12"/>
  <c r="D54" i="12"/>
  <c r="E54" i="12"/>
  <c r="G54" i="12"/>
  <c r="H54" i="12"/>
  <c r="I54" i="12"/>
  <c r="J54" i="12"/>
  <c r="D55" i="12"/>
  <c r="E55" i="12"/>
  <c r="G55" i="12"/>
  <c r="H55" i="12"/>
  <c r="I55" i="12"/>
  <c r="J55" i="12"/>
  <c r="D56" i="12"/>
  <c r="E56" i="12"/>
  <c r="G56" i="12"/>
  <c r="H56" i="12"/>
  <c r="I56" i="12"/>
  <c r="J56" i="12"/>
  <c r="D57" i="12"/>
  <c r="E57" i="12"/>
  <c r="G57" i="12"/>
  <c r="H57" i="12"/>
  <c r="I57" i="12"/>
  <c r="J57" i="12"/>
  <c r="D58" i="12"/>
  <c r="E58" i="12"/>
  <c r="F58" i="12"/>
  <c r="G58" i="12"/>
  <c r="H58" i="12"/>
  <c r="I58" i="12"/>
  <c r="J58" i="12"/>
  <c r="D60" i="12"/>
  <c r="E60" i="12"/>
  <c r="G60" i="12"/>
  <c r="H60" i="12"/>
  <c r="I60" i="12"/>
  <c r="J60" i="12"/>
  <c r="D61" i="12"/>
  <c r="E61" i="12"/>
  <c r="G61" i="12"/>
  <c r="H61" i="12"/>
  <c r="I61" i="12"/>
  <c r="J61" i="12"/>
  <c r="D62" i="12"/>
  <c r="E62" i="12"/>
  <c r="G62" i="12"/>
  <c r="H62" i="12"/>
  <c r="I62" i="12"/>
  <c r="J62" i="12"/>
  <c r="D63" i="12"/>
  <c r="E63" i="12"/>
  <c r="G63" i="12"/>
  <c r="H63" i="12"/>
  <c r="I63" i="12"/>
  <c r="J63" i="12"/>
  <c r="D65" i="12"/>
  <c r="E65" i="12"/>
  <c r="G65" i="12"/>
  <c r="H65" i="12"/>
  <c r="I65" i="12"/>
  <c r="J65" i="12"/>
  <c r="D66" i="12"/>
  <c r="E66" i="12"/>
  <c r="G66" i="12"/>
  <c r="G66" i="15"/>
  <c r="H66" i="12"/>
  <c r="I66" i="12"/>
  <c r="J66" i="12"/>
  <c r="D67" i="12"/>
  <c r="E67" i="12"/>
  <c r="G67" i="12"/>
  <c r="H67" i="12"/>
  <c r="I67" i="12"/>
  <c r="J67" i="12"/>
  <c r="D68" i="12"/>
  <c r="E68" i="12"/>
  <c r="G68" i="12"/>
  <c r="H68" i="12"/>
  <c r="I68" i="12"/>
  <c r="J68" i="12"/>
  <c r="D70" i="12"/>
  <c r="E70" i="12"/>
  <c r="G70" i="12"/>
  <c r="H70" i="12"/>
  <c r="I70" i="12"/>
  <c r="J70" i="12"/>
  <c r="J70" i="15"/>
  <c r="D71" i="12"/>
  <c r="E71" i="12"/>
  <c r="G71" i="12"/>
  <c r="H71" i="12"/>
  <c r="I71" i="12"/>
  <c r="J71" i="12"/>
  <c r="D72" i="12"/>
  <c r="E72" i="12"/>
  <c r="G72" i="12"/>
  <c r="H72" i="12"/>
  <c r="I72" i="12"/>
  <c r="J72" i="12"/>
  <c r="D73" i="12"/>
  <c r="E73" i="12"/>
  <c r="G73" i="12"/>
  <c r="H73" i="12"/>
  <c r="I73" i="12"/>
  <c r="J73" i="12"/>
  <c r="D74" i="12"/>
  <c r="D74" i="15"/>
  <c r="E74" i="12"/>
  <c r="G74" i="12"/>
  <c r="H74" i="12"/>
  <c r="I74" i="12"/>
  <c r="J74" i="12"/>
  <c r="D75" i="12"/>
  <c r="E75" i="12"/>
  <c r="F75" i="12"/>
  <c r="G75" i="12"/>
  <c r="H75" i="12"/>
  <c r="I75" i="12"/>
  <c r="J75" i="12"/>
  <c r="D77" i="12"/>
  <c r="E77" i="12"/>
  <c r="G77" i="12"/>
  <c r="H77" i="12"/>
  <c r="I77" i="12"/>
  <c r="J77" i="12"/>
  <c r="D79" i="12"/>
  <c r="E79" i="12"/>
  <c r="G79" i="12"/>
  <c r="H79" i="12"/>
  <c r="I79" i="12"/>
  <c r="J79" i="12"/>
  <c r="D80" i="12"/>
  <c r="E80" i="12"/>
  <c r="G80" i="12"/>
  <c r="H80" i="12"/>
  <c r="I80" i="12"/>
  <c r="J80" i="12"/>
  <c r="D81" i="12"/>
  <c r="E81" i="12"/>
  <c r="G81" i="12"/>
  <c r="H81" i="12"/>
  <c r="I81" i="12"/>
  <c r="J81" i="12"/>
  <c r="D82" i="12"/>
  <c r="E82" i="12"/>
  <c r="G82" i="12"/>
  <c r="H82" i="12"/>
  <c r="I82" i="12"/>
  <c r="J82" i="12"/>
  <c r="D83" i="12"/>
  <c r="E83" i="12"/>
  <c r="G83" i="12"/>
  <c r="H83" i="12"/>
  <c r="I83" i="12"/>
  <c r="J83" i="12"/>
  <c r="D84" i="12"/>
  <c r="E84" i="12"/>
  <c r="G84" i="12"/>
  <c r="H84" i="12"/>
  <c r="I84" i="12"/>
  <c r="J84" i="12"/>
  <c r="D85" i="12"/>
  <c r="E85" i="12"/>
  <c r="G85" i="12"/>
  <c r="H85" i="12"/>
  <c r="I85" i="12"/>
  <c r="J85" i="12"/>
  <c r="D86" i="12"/>
  <c r="E86" i="12"/>
  <c r="G86" i="12"/>
  <c r="H86" i="12"/>
  <c r="I86" i="12"/>
  <c r="J86" i="12"/>
  <c r="D88" i="12"/>
  <c r="E88" i="12"/>
  <c r="F88" i="12"/>
  <c r="G88" i="12"/>
  <c r="H88" i="12"/>
  <c r="I88" i="12"/>
  <c r="J88" i="12"/>
  <c r="D89" i="12"/>
  <c r="E89" i="12"/>
  <c r="F89" i="12"/>
  <c r="G89" i="12"/>
  <c r="H89" i="12"/>
  <c r="I89" i="12"/>
  <c r="J89" i="12"/>
  <c r="D90" i="12"/>
  <c r="E90" i="12"/>
  <c r="F90" i="12"/>
  <c r="G90" i="12"/>
  <c r="H90" i="12"/>
  <c r="I90" i="12"/>
  <c r="J90" i="12"/>
  <c r="D91" i="12"/>
  <c r="E91" i="12"/>
  <c r="F91" i="12"/>
  <c r="G91" i="12"/>
  <c r="H91" i="12"/>
  <c r="I91" i="12"/>
  <c r="J91" i="12"/>
  <c r="D95" i="12"/>
  <c r="E95" i="12"/>
  <c r="F95" i="12"/>
  <c r="G95" i="12"/>
  <c r="H95" i="12"/>
  <c r="I95" i="12"/>
  <c r="J95" i="12"/>
  <c r="D96" i="12"/>
  <c r="E96" i="12"/>
  <c r="F96" i="12"/>
  <c r="G96" i="12"/>
  <c r="H96" i="12"/>
  <c r="I96" i="12"/>
  <c r="J96" i="12"/>
  <c r="D97" i="12"/>
  <c r="E97" i="12"/>
  <c r="F97" i="12"/>
  <c r="G97" i="12"/>
  <c r="H97" i="12"/>
  <c r="I97" i="12"/>
  <c r="J97" i="12"/>
  <c r="D98" i="12"/>
  <c r="E98" i="12"/>
  <c r="F98" i="12"/>
  <c r="G98" i="12"/>
  <c r="H98" i="12"/>
  <c r="I98" i="12"/>
  <c r="J98" i="12"/>
  <c r="D99" i="12"/>
  <c r="E99" i="12"/>
  <c r="G99" i="12"/>
  <c r="H99" i="12"/>
  <c r="I99" i="12"/>
  <c r="J99" i="12"/>
  <c r="D100" i="12"/>
  <c r="E100" i="12"/>
  <c r="G100" i="12"/>
  <c r="H100" i="12"/>
  <c r="I100" i="12"/>
  <c r="J100" i="12"/>
  <c r="D101" i="12"/>
  <c r="E101" i="12"/>
  <c r="G101" i="12"/>
  <c r="H101" i="12"/>
  <c r="I101" i="12"/>
  <c r="J101" i="12"/>
  <c r="D102" i="12"/>
  <c r="E102" i="12"/>
  <c r="G102" i="12"/>
  <c r="H102" i="12"/>
  <c r="I102" i="12"/>
  <c r="J102" i="12"/>
  <c r="D103" i="12"/>
  <c r="D103" i="15" s="1"/>
  <c r="E103" i="12"/>
  <c r="G103" i="12"/>
  <c r="H103" i="12"/>
  <c r="H103" i="15" s="1"/>
  <c r="I103" i="12"/>
  <c r="J103" i="12"/>
  <c r="J103" i="15" s="1"/>
  <c r="D104" i="12"/>
  <c r="D104" i="15" s="1"/>
  <c r="E104" i="12"/>
  <c r="G104" i="12"/>
  <c r="G104" i="15" s="1"/>
  <c r="H104" i="12"/>
  <c r="I104" i="12"/>
  <c r="I104" i="15" s="1"/>
  <c r="J104" i="12"/>
  <c r="J104" i="15" s="1"/>
  <c r="D105" i="12"/>
  <c r="D105" i="15" s="1"/>
  <c r="E105" i="12"/>
  <c r="G105" i="12"/>
  <c r="H105" i="12"/>
  <c r="H105" i="15" s="1"/>
  <c r="I105" i="12"/>
  <c r="J105" i="12"/>
  <c r="J105" i="15" s="1"/>
  <c r="D106" i="12"/>
  <c r="D106" i="15" s="1"/>
  <c r="E106" i="12"/>
  <c r="G106" i="12"/>
  <c r="H106" i="12"/>
  <c r="I106" i="12"/>
  <c r="J106" i="12"/>
  <c r="D108" i="12"/>
  <c r="E108" i="12"/>
  <c r="F108" i="12"/>
  <c r="G108" i="12"/>
  <c r="H108" i="12"/>
  <c r="I108" i="12"/>
  <c r="J108" i="12"/>
  <c r="D109" i="12"/>
  <c r="D109" i="15"/>
  <c r="E109" i="12"/>
  <c r="G109" i="12"/>
  <c r="H109" i="12"/>
  <c r="I109" i="12"/>
  <c r="J109" i="12"/>
  <c r="D110" i="12"/>
  <c r="D110" i="15" s="1"/>
  <c r="E110" i="12"/>
  <c r="G110" i="12"/>
  <c r="H110" i="12"/>
  <c r="I110" i="12"/>
  <c r="J110" i="12"/>
  <c r="D111" i="12"/>
  <c r="D111" i="15" s="1"/>
  <c r="E111" i="12"/>
  <c r="G111" i="12"/>
  <c r="H111" i="12"/>
  <c r="I111" i="12"/>
  <c r="J111" i="12"/>
  <c r="D114" i="12"/>
  <c r="D114" i="15"/>
  <c r="E114" i="12"/>
  <c r="G114" i="12"/>
  <c r="H114" i="12"/>
  <c r="H114" i="15"/>
  <c r="I114" i="12"/>
  <c r="I114" i="15" s="1"/>
  <c r="J114" i="12"/>
  <c r="D115" i="12"/>
  <c r="E115" i="12"/>
  <c r="E115" i="15" s="1"/>
  <c r="G115" i="12"/>
  <c r="G115" i="15" s="1"/>
  <c r="H115" i="12"/>
  <c r="I115" i="12"/>
  <c r="J115" i="12"/>
  <c r="D116" i="12"/>
  <c r="E116" i="12"/>
  <c r="G116" i="12"/>
  <c r="H116" i="12"/>
  <c r="I116" i="12"/>
  <c r="J116" i="12"/>
  <c r="D117" i="12"/>
  <c r="E117" i="12"/>
  <c r="G117" i="12"/>
  <c r="J117" i="12"/>
  <c r="D119" i="12"/>
  <c r="E119" i="12"/>
  <c r="F119" i="12"/>
  <c r="G119" i="12"/>
  <c r="H119" i="12"/>
  <c r="I119" i="12"/>
  <c r="J119" i="12"/>
  <c r="D120" i="12"/>
  <c r="E120" i="12"/>
  <c r="F120" i="12"/>
  <c r="G120" i="12"/>
  <c r="H120" i="12"/>
  <c r="I120" i="12"/>
  <c r="J120" i="12"/>
  <c r="D121" i="12"/>
  <c r="E121" i="12"/>
  <c r="F121" i="12"/>
  <c r="G121" i="12"/>
  <c r="H121" i="12"/>
  <c r="I121" i="12"/>
  <c r="J121" i="12"/>
  <c r="D124" i="12"/>
  <c r="E124" i="12"/>
  <c r="F124" i="12"/>
  <c r="G124" i="12"/>
  <c r="H124" i="12"/>
  <c r="H124" i="15" s="1"/>
  <c r="I124" i="12"/>
  <c r="I124" i="15" s="1"/>
  <c r="J124" i="12"/>
  <c r="D126" i="12"/>
  <c r="E126" i="12"/>
  <c r="G126" i="12"/>
  <c r="H126" i="12"/>
  <c r="H126" i="15" s="1"/>
  <c r="I126" i="12"/>
  <c r="I126" i="15" s="1"/>
  <c r="J126" i="12"/>
  <c r="D127" i="12"/>
  <c r="E127" i="12"/>
  <c r="E127" i="15" s="1"/>
  <c r="G127" i="12"/>
  <c r="G127" i="15" s="1"/>
  <c r="H127" i="12"/>
  <c r="I127" i="12"/>
  <c r="J127" i="12"/>
  <c r="J127" i="15" s="1"/>
  <c r="D135" i="12"/>
  <c r="D135" i="15"/>
  <c r="E135" i="12"/>
  <c r="G135" i="12"/>
  <c r="H135" i="12"/>
  <c r="I135" i="12"/>
  <c r="J135" i="12"/>
  <c r="D136" i="12"/>
  <c r="D136" i="15" s="1"/>
  <c r="E136" i="12"/>
  <c r="G136" i="12"/>
  <c r="H136" i="12"/>
  <c r="I136" i="12"/>
  <c r="J136" i="12"/>
  <c r="D137" i="12"/>
  <c r="D137" i="15" s="1"/>
  <c r="E137" i="12"/>
  <c r="G137" i="12"/>
  <c r="H137" i="12"/>
  <c r="I137" i="12"/>
  <c r="J137" i="12"/>
  <c r="D138" i="12"/>
  <c r="D138" i="15"/>
  <c r="E138" i="12"/>
  <c r="G138" i="12"/>
  <c r="H138" i="12"/>
  <c r="I138" i="12"/>
  <c r="I138" i="15"/>
  <c r="J138" i="12"/>
  <c r="D139" i="12"/>
  <c r="D139" i="15"/>
  <c r="E139" i="12"/>
  <c r="G139" i="12"/>
  <c r="H139" i="12"/>
  <c r="I139" i="12"/>
  <c r="J139" i="12"/>
  <c r="D15" i="1"/>
  <c r="E15" i="1"/>
  <c r="G15" i="1"/>
  <c r="H15" i="1"/>
  <c r="I15" i="1"/>
  <c r="J15" i="1"/>
  <c r="F16" i="1"/>
  <c r="F17" i="1"/>
  <c r="F18" i="1"/>
  <c r="F19" i="1"/>
  <c r="F20" i="1"/>
  <c r="F21" i="1"/>
  <c r="F22" i="1"/>
  <c r="D23" i="1"/>
  <c r="E23" i="1"/>
  <c r="G23" i="1"/>
  <c r="H23" i="1"/>
  <c r="I23" i="1"/>
  <c r="J23" i="1"/>
  <c r="F24" i="1"/>
  <c r="E26" i="1"/>
  <c r="G26" i="1"/>
  <c r="H26" i="1"/>
  <c r="I26" i="1"/>
  <c r="J26" i="1"/>
  <c r="F27" i="1"/>
  <c r="F28" i="1"/>
  <c r="F29" i="1"/>
  <c r="F30" i="1"/>
  <c r="F31" i="1"/>
  <c r="F32" i="1"/>
  <c r="D36" i="1"/>
  <c r="E36" i="1"/>
  <c r="G36" i="1"/>
  <c r="H36" i="1"/>
  <c r="I36" i="1"/>
  <c r="J36" i="1"/>
  <c r="F37" i="1"/>
  <c r="D40" i="1"/>
  <c r="E40" i="1"/>
  <c r="G40" i="1"/>
  <c r="H40" i="1"/>
  <c r="I40" i="1"/>
  <c r="J40" i="1"/>
  <c r="F41" i="1"/>
  <c r="F43" i="1"/>
  <c r="F44" i="1"/>
  <c r="F45" i="1"/>
  <c r="F46" i="1"/>
  <c r="G47" i="1"/>
  <c r="H47" i="1"/>
  <c r="I47" i="1"/>
  <c r="J47" i="1"/>
  <c r="F48" i="1"/>
  <c r="D50" i="1"/>
  <c r="E50" i="1"/>
  <c r="G50" i="1"/>
  <c r="H50" i="1"/>
  <c r="I50" i="1"/>
  <c r="J50" i="1"/>
  <c r="F51" i="1"/>
  <c r="F50" i="1"/>
  <c r="D53" i="1"/>
  <c r="E53" i="1"/>
  <c r="F55" i="1"/>
  <c r="F56" i="1"/>
  <c r="F57" i="1"/>
  <c r="F58" i="1"/>
  <c r="D59" i="1"/>
  <c r="E59" i="1"/>
  <c r="G59" i="1"/>
  <c r="H59" i="1"/>
  <c r="I59" i="1"/>
  <c r="J59" i="1"/>
  <c r="F60" i="1"/>
  <c r="F61" i="1"/>
  <c r="F62" i="1"/>
  <c r="F63" i="1"/>
  <c r="D64" i="1"/>
  <c r="E64" i="1"/>
  <c r="G64" i="1"/>
  <c r="I64" i="1"/>
  <c r="J64" i="1"/>
  <c r="F65" i="1"/>
  <c r="F68" i="1"/>
  <c r="D69" i="1"/>
  <c r="E69" i="1"/>
  <c r="G69" i="1"/>
  <c r="H69" i="1"/>
  <c r="I69" i="1"/>
  <c r="J69" i="1"/>
  <c r="F70" i="1"/>
  <c r="F69" i="1" s="1"/>
  <c r="F71" i="1"/>
  <c r="F74" i="1"/>
  <c r="F77" i="1"/>
  <c r="D78" i="1"/>
  <c r="D76" i="1" s="1"/>
  <c r="E78" i="1"/>
  <c r="E76" i="1" s="1"/>
  <c r="G93" i="1"/>
  <c r="H93" i="1"/>
  <c r="I93" i="1"/>
  <c r="J93" i="1"/>
  <c r="G106" i="1"/>
  <c r="G106" i="15" s="1"/>
  <c r="H106" i="1"/>
  <c r="I106" i="1"/>
  <c r="J106" i="1"/>
  <c r="J106" i="15" s="1"/>
  <c r="G111" i="1"/>
  <c r="G111" i="15" s="1"/>
  <c r="J111" i="1"/>
  <c r="H116" i="1"/>
  <c r="I116" i="1"/>
  <c r="I111" i="1" s="1"/>
  <c r="G133" i="1"/>
  <c r="G132" i="1"/>
  <c r="G131" i="1"/>
  <c r="G131" i="15" s="1"/>
  <c r="H133" i="1"/>
  <c r="H132" i="1" s="1"/>
  <c r="I133" i="1"/>
  <c r="I132" i="1" s="1"/>
  <c r="I131" i="1" s="1"/>
  <c r="J133" i="1"/>
  <c r="J132" i="1"/>
  <c r="J131" i="1" s="1"/>
  <c r="J117" i="1" s="1"/>
  <c r="J117" i="15" s="1"/>
  <c r="A12" i="2"/>
  <c r="D15" i="2"/>
  <c r="E15" i="2"/>
  <c r="G15" i="2"/>
  <c r="H15" i="2"/>
  <c r="H15" i="22" s="1"/>
  <c r="I15" i="2"/>
  <c r="J15" i="2"/>
  <c r="F16" i="2"/>
  <c r="F17" i="2"/>
  <c r="F18" i="2"/>
  <c r="F18" i="22" s="1"/>
  <c r="F19" i="2"/>
  <c r="F20" i="2"/>
  <c r="F20" i="22" s="1"/>
  <c r="F21" i="2"/>
  <c r="D23" i="2"/>
  <c r="E23" i="2"/>
  <c r="G23" i="2"/>
  <c r="H23" i="2"/>
  <c r="I23" i="2"/>
  <c r="I23" i="22" s="1"/>
  <c r="J23" i="2"/>
  <c r="F24" i="2"/>
  <c r="F25" i="2"/>
  <c r="F25" i="22" s="1"/>
  <c r="D26" i="2"/>
  <c r="E26" i="2"/>
  <c r="E26" i="22" s="1"/>
  <c r="G26" i="2"/>
  <c r="H26" i="2"/>
  <c r="I26" i="2"/>
  <c r="I26" i="22" s="1"/>
  <c r="J26" i="2"/>
  <c r="F32" i="2"/>
  <c r="F32" i="22"/>
  <c r="D35" i="2"/>
  <c r="D34" i="2" s="1"/>
  <c r="G36" i="2"/>
  <c r="H36" i="2"/>
  <c r="H36" i="22" s="1"/>
  <c r="I36" i="2"/>
  <c r="J36" i="2"/>
  <c r="G40" i="2"/>
  <c r="H40" i="2"/>
  <c r="H40" i="22" s="1"/>
  <c r="I40" i="2"/>
  <c r="J40" i="2"/>
  <c r="E35" i="2"/>
  <c r="G50" i="2"/>
  <c r="H50" i="2"/>
  <c r="I50" i="2"/>
  <c r="J50" i="2"/>
  <c r="J50" i="22" s="1"/>
  <c r="G53" i="2"/>
  <c r="H53" i="2"/>
  <c r="I53" i="2"/>
  <c r="J53" i="2"/>
  <c r="G59" i="2"/>
  <c r="H59" i="2"/>
  <c r="I59" i="2"/>
  <c r="J59" i="2"/>
  <c r="G64" i="2"/>
  <c r="H64" i="2"/>
  <c r="I64" i="2"/>
  <c r="J64" i="2"/>
  <c r="J64" i="22" s="1"/>
  <c r="G69" i="2"/>
  <c r="H69" i="2"/>
  <c r="I69" i="2"/>
  <c r="I69" i="22" s="1"/>
  <c r="J69" i="2"/>
  <c r="D76" i="2"/>
  <c r="E76" i="2"/>
  <c r="G78" i="2"/>
  <c r="G76" i="2" s="1"/>
  <c r="H78" i="2"/>
  <c r="H76" i="2" s="1"/>
  <c r="I78" i="2"/>
  <c r="I76" i="2" s="1"/>
  <c r="J78" i="2"/>
  <c r="J76" i="2"/>
  <c r="D94" i="2"/>
  <c r="E94" i="2"/>
  <c r="E94" i="22"/>
  <c r="I94" i="2"/>
  <c r="H94" i="2"/>
  <c r="D107" i="2"/>
  <c r="D107" i="22" s="1"/>
  <c r="E107" i="2"/>
  <c r="E107" i="22"/>
  <c r="G107" i="2"/>
  <c r="H107" i="2"/>
  <c r="I107" i="2"/>
  <c r="J107" i="2"/>
  <c r="L109" i="2"/>
  <c r="L110" i="2"/>
  <c r="L111" i="2"/>
  <c r="G112" i="2"/>
  <c r="H112" i="2"/>
  <c r="I112" i="2"/>
  <c r="J112" i="2"/>
  <c r="L112" i="2"/>
  <c r="L113" i="2"/>
  <c r="L116" i="2"/>
  <c r="F117" i="2"/>
  <c r="F112" i="2"/>
  <c r="L118" i="2"/>
  <c r="L119" i="2"/>
  <c r="L120" i="2"/>
  <c r="L121" i="2"/>
  <c r="L132" i="2"/>
  <c r="L133" i="2"/>
  <c r="F134" i="2"/>
  <c r="F133" i="2"/>
  <c r="F132" i="2" s="1"/>
  <c r="F118" i="2" s="1"/>
  <c r="G134" i="2"/>
  <c r="G133" i="2" s="1"/>
  <c r="G132" i="2" s="1"/>
  <c r="G118" i="2" s="1"/>
  <c r="H134" i="2"/>
  <c r="H133" i="2"/>
  <c r="H132" i="2" s="1"/>
  <c r="H118" i="2" s="1"/>
  <c r="I134" i="2"/>
  <c r="J134" i="2"/>
  <c r="J133" i="2"/>
  <c r="J132" i="2" s="1"/>
  <c r="J118" i="2" s="1"/>
  <c r="L134" i="2"/>
  <c r="L135" i="2"/>
  <c r="L136" i="2"/>
  <c r="L138" i="2"/>
  <c r="L139" i="2"/>
  <c r="D16" i="3"/>
  <c r="E16" i="3"/>
  <c r="G16" i="3"/>
  <c r="H16" i="3"/>
  <c r="I16" i="3"/>
  <c r="I16" i="15" s="1"/>
  <c r="J16" i="3"/>
  <c r="J16" i="15" s="1"/>
  <c r="D17" i="3"/>
  <c r="D17" i="15" s="1"/>
  <c r="E17" i="3"/>
  <c r="H17" i="3"/>
  <c r="I17" i="3"/>
  <c r="J17" i="3"/>
  <c r="J17" i="15"/>
  <c r="D18" i="3"/>
  <c r="E18" i="3"/>
  <c r="G18" i="3"/>
  <c r="H18" i="3"/>
  <c r="I18" i="3"/>
  <c r="I18" i="15" s="1"/>
  <c r="J18" i="3"/>
  <c r="J18" i="15" s="1"/>
  <c r="D19" i="3"/>
  <c r="E19" i="3"/>
  <c r="E19" i="15" s="1"/>
  <c r="G19" i="3"/>
  <c r="G19" i="15" s="1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J21" i="15" s="1"/>
  <c r="G22" i="3"/>
  <c r="G22" i="15" s="1"/>
  <c r="H22" i="3"/>
  <c r="I22" i="3"/>
  <c r="J22" i="3"/>
  <c r="D24" i="3"/>
  <c r="E24" i="3"/>
  <c r="G24" i="3"/>
  <c r="H24" i="3"/>
  <c r="D25" i="3"/>
  <c r="E25" i="3"/>
  <c r="G25" i="3"/>
  <c r="G25" i="15" s="1"/>
  <c r="I25" i="3"/>
  <c r="J25" i="3"/>
  <c r="D27" i="3"/>
  <c r="D27" i="15" s="1"/>
  <c r="E27" i="3"/>
  <c r="E27" i="15" s="1"/>
  <c r="G27" i="3"/>
  <c r="G27" i="15" s="1"/>
  <c r="H27" i="3"/>
  <c r="H27" i="15" s="1"/>
  <c r="I27" i="3"/>
  <c r="I27" i="15" s="1"/>
  <c r="J27" i="3"/>
  <c r="D28" i="3"/>
  <c r="D28" i="15" s="1"/>
  <c r="E28" i="3"/>
  <c r="G28" i="3"/>
  <c r="G28" i="15" s="1"/>
  <c r="H28" i="3"/>
  <c r="I28" i="3"/>
  <c r="I28" i="15" s="1"/>
  <c r="J28" i="3"/>
  <c r="J28" i="15" s="1"/>
  <c r="D29" i="3"/>
  <c r="D29" i="15" s="1"/>
  <c r="E29" i="3"/>
  <c r="G29" i="3"/>
  <c r="G29" i="15" s="1"/>
  <c r="H29" i="3"/>
  <c r="H29" i="15" s="1"/>
  <c r="I29" i="3"/>
  <c r="I29" i="15" s="1"/>
  <c r="J29" i="3"/>
  <c r="J29" i="15" s="1"/>
  <c r="D30" i="3"/>
  <c r="D30" i="15" s="1"/>
  <c r="E30" i="3"/>
  <c r="E30" i="15" s="1"/>
  <c r="G30" i="3"/>
  <c r="H30" i="3"/>
  <c r="I30" i="3"/>
  <c r="J30" i="3"/>
  <c r="D31" i="3"/>
  <c r="E31" i="3"/>
  <c r="G31" i="3"/>
  <c r="G31" i="15" s="1"/>
  <c r="H31" i="3"/>
  <c r="I31" i="3"/>
  <c r="I31" i="15" s="1"/>
  <c r="J31" i="3"/>
  <c r="J31" i="15" s="1"/>
  <c r="D32" i="3"/>
  <c r="E32" i="3"/>
  <c r="G32" i="3"/>
  <c r="H32" i="3"/>
  <c r="I32" i="3"/>
  <c r="I32" i="15"/>
  <c r="J32" i="3"/>
  <c r="J32" i="15" s="1"/>
  <c r="D33" i="3"/>
  <c r="E33" i="3"/>
  <c r="F33" i="3"/>
  <c r="G33" i="3"/>
  <c r="H33" i="3"/>
  <c r="I33" i="3"/>
  <c r="J33" i="3"/>
  <c r="K33" i="3"/>
  <c r="L33" i="3"/>
  <c r="M33" i="3"/>
  <c r="D37" i="3"/>
  <c r="E37" i="3"/>
  <c r="G37" i="3"/>
  <c r="H37" i="3"/>
  <c r="I37" i="3"/>
  <c r="J37" i="3"/>
  <c r="D38" i="3"/>
  <c r="E38" i="3"/>
  <c r="F38" i="3"/>
  <c r="G38" i="3"/>
  <c r="H38" i="3"/>
  <c r="I38" i="3"/>
  <c r="J38" i="3"/>
  <c r="J38" i="15" s="1"/>
  <c r="D39" i="3"/>
  <c r="E39" i="3"/>
  <c r="F39" i="3"/>
  <c r="G39" i="3"/>
  <c r="H39" i="3"/>
  <c r="I39" i="3"/>
  <c r="J39" i="3"/>
  <c r="J39" i="15" s="1"/>
  <c r="D41" i="3"/>
  <c r="E41" i="3"/>
  <c r="G41" i="3"/>
  <c r="H41" i="3"/>
  <c r="I41" i="3"/>
  <c r="J41" i="3"/>
  <c r="D42" i="3"/>
  <c r="E42" i="3"/>
  <c r="F42" i="3"/>
  <c r="G42" i="3"/>
  <c r="H42" i="3"/>
  <c r="I42" i="3"/>
  <c r="J42" i="3"/>
  <c r="J42" i="15" s="1"/>
  <c r="D43" i="3"/>
  <c r="D43" i="15"/>
  <c r="E43" i="3"/>
  <c r="G43" i="3"/>
  <c r="H43" i="3"/>
  <c r="I43" i="3"/>
  <c r="I43" i="15" s="1"/>
  <c r="J43" i="3"/>
  <c r="D44" i="3"/>
  <c r="E44" i="3"/>
  <c r="G44" i="3"/>
  <c r="G44" i="15" s="1"/>
  <c r="H44" i="3"/>
  <c r="H44" i="15" s="1"/>
  <c r="I44" i="3"/>
  <c r="J44" i="3"/>
  <c r="D45" i="3"/>
  <c r="E45" i="3"/>
  <c r="E45" i="15" s="1"/>
  <c r="F45" i="3"/>
  <c r="G45" i="3"/>
  <c r="H45" i="3"/>
  <c r="I45" i="3"/>
  <c r="I45" i="15" s="1"/>
  <c r="J45" i="3"/>
  <c r="J45" i="15" s="1"/>
  <c r="D46" i="3"/>
  <c r="E46" i="3"/>
  <c r="F46" i="3"/>
  <c r="G46" i="3"/>
  <c r="H46" i="3"/>
  <c r="I46" i="3"/>
  <c r="J46" i="3"/>
  <c r="D48" i="3"/>
  <c r="E48" i="3"/>
  <c r="G48" i="3"/>
  <c r="H48" i="3"/>
  <c r="I48" i="3"/>
  <c r="J48" i="3"/>
  <c r="J48" i="15" s="1"/>
  <c r="D49" i="3"/>
  <c r="E49" i="3"/>
  <c r="F49" i="3"/>
  <c r="G49" i="3"/>
  <c r="H49" i="3"/>
  <c r="I49" i="3"/>
  <c r="J49" i="3"/>
  <c r="D51" i="3"/>
  <c r="D51" i="15"/>
  <c r="E51" i="3"/>
  <c r="G51" i="3"/>
  <c r="G51" i="15" s="1"/>
  <c r="H51" i="3"/>
  <c r="I51" i="3"/>
  <c r="J51" i="3"/>
  <c r="D52" i="3"/>
  <c r="E52" i="3"/>
  <c r="F52" i="3"/>
  <c r="G52" i="3"/>
  <c r="H52" i="3"/>
  <c r="I52" i="3"/>
  <c r="J52" i="3"/>
  <c r="J52" i="15" s="1"/>
  <c r="D54" i="3"/>
  <c r="E54" i="3"/>
  <c r="G54" i="3"/>
  <c r="G54" i="15"/>
  <c r="H54" i="3"/>
  <c r="H54" i="15"/>
  <c r="I54" i="3"/>
  <c r="I54" i="15" s="1"/>
  <c r="J54" i="3"/>
  <c r="D55" i="3"/>
  <c r="E55" i="3"/>
  <c r="G55" i="3"/>
  <c r="H55" i="3"/>
  <c r="I55" i="3"/>
  <c r="I55" i="15"/>
  <c r="J55" i="3"/>
  <c r="D56" i="3"/>
  <c r="E56" i="3"/>
  <c r="F56" i="3"/>
  <c r="G56" i="3"/>
  <c r="H56" i="3"/>
  <c r="I56" i="3"/>
  <c r="J56" i="3"/>
  <c r="D57" i="3"/>
  <c r="D57" i="15" s="1"/>
  <c r="E57" i="3"/>
  <c r="F57" i="3"/>
  <c r="G57" i="3"/>
  <c r="G57" i="15" s="1"/>
  <c r="H57" i="3"/>
  <c r="H57" i="15" s="1"/>
  <c r="I57" i="3"/>
  <c r="J57" i="3"/>
  <c r="D58" i="3"/>
  <c r="E58" i="3"/>
  <c r="G58" i="3"/>
  <c r="H58" i="3"/>
  <c r="I58" i="3"/>
  <c r="J58" i="3"/>
  <c r="D60" i="3"/>
  <c r="E60" i="3"/>
  <c r="G60" i="3"/>
  <c r="H60" i="3"/>
  <c r="I60" i="3"/>
  <c r="J60" i="3"/>
  <c r="D61" i="3"/>
  <c r="E61" i="3"/>
  <c r="G61" i="3"/>
  <c r="G61" i="15" s="1"/>
  <c r="H61" i="3"/>
  <c r="I61" i="3"/>
  <c r="J61" i="3"/>
  <c r="D62" i="3"/>
  <c r="D62" i="15" s="1"/>
  <c r="E62" i="3"/>
  <c r="G62" i="3"/>
  <c r="G62" i="15" s="1"/>
  <c r="H62" i="3"/>
  <c r="I62" i="3"/>
  <c r="J62" i="3"/>
  <c r="D63" i="3"/>
  <c r="E63" i="3"/>
  <c r="G63" i="3"/>
  <c r="H63" i="3"/>
  <c r="I63" i="3"/>
  <c r="J63" i="3"/>
  <c r="J63" i="15" s="1"/>
  <c r="D65" i="3"/>
  <c r="E65" i="3"/>
  <c r="E65" i="15"/>
  <c r="G65" i="3"/>
  <c r="H65" i="3"/>
  <c r="I65" i="3"/>
  <c r="J65" i="3"/>
  <c r="D66" i="3"/>
  <c r="E66" i="3"/>
  <c r="G66" i="3"/>
  <c r="H66" i="3"/>
  <c r="I66" i="3"/>
  <c r="J66" i="3"/>
  <c r="D67" i="3"/>
  <c r="D67" i="15" s="1"/>
  <c r="E67" i="3"/>
  <c r="E67" i="15" s="1"/>
  <c r="G67" i="3"/>
  <c r="H67" i="3"/>
  <c r="H67" i="15"/>
  <c r="I67" i="3"/>
  <c r="J67" i="3"/>
  <c r="J67" i="15" s="1"/>
  <c r="D68" i="3"/>
  <c r="E68" i="3"/>
  <c r="G68" i="3"/>
  <c r="H68" i="3"/>
  <c r="I68" i="3"/>
  <c r="J68" i="3"/>
  <c r="J68" i="15" s="1"/>
  <c r="D69" i="3"/>
  <c r="D70" i="3"/>
  <c r="D70" i="15" s="1"/>
  <c r="E70" i="3"/>
  <c r="G70" i="3"/>
  <c r="H70" i="3"/>
  <c r="I70" i="3"/>
  <c r="I70" i="15" s="1"/>
  <c r="J70" i="3"/>
  <c r="D71" i="3"/>
  <c r="D71" i="15" s="1"/>
  <c r="E71" i="3"/>
  <c r="G71" i="3"/>
  <c r="G71" i="15" s="1"/>
  <c r="H71" i="3"/>
  <c r="H71" i="15" s="1"/>
  <c r="I71" i="3"/>
  <c r="I71" i="15" s="1"/>
  <c r="J71" i="3"/>
  <c r="J71" i="15" s="1"/>
  <c r="D72" i="3"/>
  <c r="E72" i="3"/>
  <c r="E72" i="15"/>
  <c r="G72" i="3"/>
  <c r="I72" i="3"/>
  <c r="J72" i="3"/>
  <c r="D73" i="3"/>
  <c r="D73" i="15" s="1"/>
  <c r="E73" i="3"/>
  <c r="F73" i="3"/>
  <c r="G73" i="3"/>
  <c r="G73" i="15" s="1"/>
  <c r="H73" i="3"/>
  <c r="H73" i="15" s="1"/>
  <c r="I73" i="3"/>
  <c r="I73" i="15" s="1"/>
  <c r="J73" i="3"/>
  <c r="D74" i="3"/>
  <c r="E74" i="3"/>
  <c r="E74" i="15" s="1"/>
  <c r="F74" i="3"/>
  <c r="G74" i="3"/>
  <c r="H74" i="3"/>
  <c r="I74" i="3"/>
  <c r="I74" i="15" s="1"/>
  <c r="J74" i="3"/>
  <c r="J74" i="15" s="1"/>
  <c r="D75" i="3"/>
  <c r="E75" i="3"/>
  <c r="F75" i="3"/>
  <c r="G75" i="3"/>
  <c r="H75" i="3"/>
  <c r="I75" i="3"/>
  <c r="J75" i="3"/>
  <c r="J75" i="15" s="1"/>
  <c r="D77" i="3"/>
  <c r="E77" i="3"/>
  <c r="E77" i="15" s="1"/>
  <c r="G77" i="3"/>
  <c r="H77" i="3"/>
  <c r="I77" i="3"/>
  <c r="J77" i="3"/>
  <c r="J77" i="15" s="1"/>
  <c r="D79" i="3"/>
  <c r="E79" i="3"/>
  <c r="G79" i="3"/>
  <c r="H79" i="3"/>
  <c r="I79" i="3"/>
  <c r="J79" i="3"/>
  <c r="J79" i="15" s="1"/>
  <c r="D80" i="3"/>
  <c r="E80" i="3"/>
  <c r="G80" i="3"/>
  <c r="H80" i="3"/>
  <c r="H80" i="15" s="1"/>
  <c r="I80" i="3"/>
  <c r="J80" i="3"/>
  <c r="D81" i="3"/>
  <c r="E81" i="3"/>
  <c r="G81" i="3"/>
  <c r="H81" i="3"/>
  <c r="I81" i="3"/>
  <c r="J81" i="3"/>
  <c r="D82" i="3"/>
  <c r="E82" i="3"/>
  <c r="E82" i="15" s="1"/>
  <c r="G82" i="3"/>
  <c r="H82" i="3"/>
  <c r="I82" i="3"/>
  <c r="I82" i="15" s="1"/>
  <c r="J82" i="3"/>
  <c r="D83" i="3"/>
  <c r="E83" i="3"/>
  <c r="G83" i="3"/>
  <c r="G83" i="15" s="1"/>
  <c r="H83" i="3"/>
  <c r="I83" i="3"/>
  <c r="I83" i="15" s="1"/>
  <c r="J83" i="3"/>
  <c r="D84" i="3"/>
  <c r="E84" i="3"/>
  <c r="E84" i="15"/>
  <c r="G84" i="3"/>
  <c r="H84" i="3"/>
  <c r="I84" i="3"/>
  <c r="J84" i="3"/>
  <c r="J84" i="15" s="1"/>
  <c r="D85" i="3"/>
  <c r="E85" i="3"/>
  <c r="E85" i="15" s="1"/>
  <c r="G85" i="3"/>
  <c r="H85" i="3"/>
  <c r="H85" i="15" s="1"/>
  <c r="I85" i="3"/>
  <c r="J85" i="3"/>
  <c r="D86" i="3"/>
  <c r="E86" i="3"/>
  <c r="G86" i="3"/>
  <c r="H86" i="3"/>
  <c r="I86" i="3"/>
  <c r="J86" i="3"/>
  <c r="D87" i="3"/>
  <c r="E87" i="3"/>
  <c r="G87" i="3"/>
  <c r="G87" i="15" s="1"/>
  <c r="H87" i="3"/>
  <c r="I87" i="3"/>
  <c r="I87" i="15" s="1"/>
  <c r="J87" i="3"/>
  <c r="J87" i="15" s="1"/>
  <c r="D88" i="3"/>
  <c r="E88" i="3"/>
  <c r="E88" i="15" s="1"/>
  <c r="F88" i="3"/>
  <c r="G88" i="3"/>
  <c r="G88" i="15"/>
  <c r="H88" i="3"/>
  <c r="I88" i="3"/>
  <c r="J88" i="3"/>
  <c r="K88" i="3"/>
  <c r="L88" i="3"/>
  <c r="M88" i="3"/>
  <c r="D89" i="3"/>
  <c r="D89" i="15" s="1"/>
  <c r="E89" i="3"/>
  <c r="F89" i="3"/>
  <c r="G89" i="3"/>
  <c r="H89" i="3"/>
  <c r="I89" i="3"/>
  <c r="J89" i="3"/>
  <c r="K89" i="3"/>
  <c r="L89" i="3"/>
  <c r="M89" i="3"/>
  <c r="D90" i="3"/>
  <c r="E90" i="3"/>
  <c r="F90" i="3"/>
  <c r="G90" i="3"/>
  <c r="G90" i="15" s="1"/>
  <c r="H90" i="3"/>
  <c r="I90" i="3"/>
  <c r="J90" i="3"/>
  <c r="K90" i="3"/>
  <c r="L90" i="3"/>
  <c r="M90" i="3"/>
  <c r="D91" i="3"/>
  <c r="E91" i="3"/>
  <c r="E91" i="15" s="1"/>
  <c r="F91" i="3"/>
  <c r="G91" i="3"/>
  <c r="H91" i="3"/>
  <c r="I91" i="3"/>
  <c r="J91" i="3"/>
  <c r="K91" i="3"/>
  <c r="L91" i="3"/>
  <c r="M91" i="3"/>
  <c r="K92" i="3"/>
  <c r="L92" i="3"/>
  <c r="M92" i="3"/>
  <c r="K93" i="3"/>
  <c r="L93" i="3"/>
  <c r="M93" i="3"/>
  <c r="D94" i="3"/>
  <c r="K94" i="3"/>
  <c r="L94" i="3"/>
  <c r="M94" i="3"/>
  <c r="D95" i="3"/>
  <c r="D95" i="15" s="1"/>
  <c r="E95" i="3"/>
  <c r="E95" i="15"/>
  <c r="F95" i="3"/>
  <c r="G95" i="3"/>
  <c r="G95" i="15" s="1"/>
  <c r="H95" i="3"/>
  <c r="H95" i="15" s="1"/>
  <c r="I95" i="3"/>
  <c r="J95" i="3"/>
  <c r="K95" i="3"/>
  <c r="L95" i="3"/>
  <c r="M95" i="3"/>
  <c r="D96" i="3"/>
  <c r="E96" i="3"/>
  <c r="E96" i="15" s="1"/>
  <c r="F96" i="3"/>
  <c r="G96" i="3"/>
  <c r="H96" i="3"/>
  <c r="H96" i="15" s="1"/>
  <c r="I96" i="3"/>
  <c r="J96" i="3"/>
  <c r="J96" i="15" s="1"/>
  <c r="K96" i="3"/>
  <c r="L96" i="3"/>
  <c r="M96" i="3"/>
  <c r="D97" i="3"/>
  <c r="D97" i="15"/>
  <c r="E97" i="3"/>
  <c r="E97" i="15"/>
  <c r="F97" i="3"/>
  <c r="G97" i="3"/>
  <c r="G97" i="15" s="1"/>
  <c r="H97" i="3"/>
  <c r="H97" i="15"/>
  <c r="I97" i="3"/>
  <c r="J97" i="3"/>
  <c r="K97" i="3"/>
  <c r="L97" i="3"/>
  <c r="M97" i="3"/>
  <c r="D98" i="3"/>
  <c r="E98" i="3"/>
  <c r="F98" i="3"/>
  <c r="G98" i="3"/>
  <c r="H98" i="3"/>
  <c r="I98" i="3"/>
  <c r="J98" i="3"/>
  <c r="J98" i="15" s="1"/>
  <c r="K98" i="3"/>
  <c r="L98" i="3"/>
  <c r="M98" i="3"/>
  <c r="D99" i="3"/>
  <c r="D99" i="15" s="1"/>
  <c r="E99" i="3"/>
  <c r="F99" i="3"/>
  <c r="G99" i="3"/>
  <c r="G99" i="15" s="1"/>
  <c r="H99" i="3"/>
  <c r="H99" i="15"/>
  <c r="I99" i="3"/>
  <c r="J99" i="3"/>
  <c r="K99" i="3"/>
  <c r="L99" i="3"/>
  <c r="M99" i="3"/>
  <c r="D100" i="3"/>
  <c r="E100" i="3"/>
  <c r="F100" i="3"/>
  <c r="G100" i="3"/>
  <c r="H100" i="3"/>
  <c r="I100" i="3"/>
  <c r="J100" i="3"/>
  <c r="K100" i="3"/>
  <c r="L100" i="3"/>
  <c r="M100" i="3"/>
  <c r="D101" i="3"/>
  <c r="D101" i="15"/>
  <c r="E101" i="3"/>
  <c r="F101" i="3"/>
  <c r="G101" i="3"/>
  <c r="G101" i="15"/>
  <c r="H101" i="3"/>
  <c r="H101" i="15" s="1"/>
  <c r="I101" i="3"/>
  <c r="J101" i="3"/>
  <c r="K101" i="3"/>
  <c r="L101" i="3"/>
  <c r="M101" i="3"/>
  <c r="D102" i="3"/>
  <c r="D102" i="15" s="1"/>
  <c r="E102" i="3"/>
  <c r="E102" i="15" s="1"/>
  <c r="G102" i="3"/>
  <c r="G102" i="15" s="1"/>
  <c r="H102" i="3"/>
  <c r="I102" i="3"/>
  <c r="J102" i="3"/>
  <c r="J102" i="15" s="1"/>
  <c r="K102" i="3"/>
  <c r="L102" i="3"/>
  <c r="M102" i="3"/>
  <c r="E107" i="3"/>
  <c r="K107" i="3"/>
  <c r="L107" i="3"/>
  <c r="M107" i="3"/>
  <c r="E108" i="3"/>
  <c r="F108" i="3"/>
  <c r="G108" i="3"/>
  <c r="H108" i="3"/>
  <c r="I108" i="3"/>
  <c r="J108" i="3"/>
  <c r="K108" i="3"/>
  <c r="L108" i="3"/>
  <c r="M108" i="3"/>
  <c r="E109" i="3"/>
  <c r="F109" i="3"/>
  <c r="G109" i="3"/>
  <c r="H109" i="3"/>
  <c r="I109" i="3"/>
  <c r="I109" i="15" s="1"/>
  <c r="J109" i="3"/>
  <c r="K109" i="3"/>
  <c r="L109" i="3"/>
  <c r="M109" i="3"/>
  <c r="E110" i="3"/>
  <c r="E110" i="15" s="1"/>
  <c r="F110" i="3"/>
  <c r="G110" i="3"/>
  <c r="G110" i="15" s="1"/>
  <c r="H110" i="3"/>
  <c r="H110" i="15" s="1"/>
  <c r="I110" i="3"/>
  <c r="J110" i="3"/>
  <c r="K110" i="3"/>
  <c r="L110" i="3"/>
  <c r="M110" i="3"/>
  <c r="E111" i="3"/>
  <c r="F111" i="3"/>
  <c r="G111" i="3"/>
  <c r="H111" i="3"/>
  <c r="I111" i="3"/>
  <c r="J111" i="3"/>
  <c r="K111" i="3"/>
  <c r="L111" i="3"/>
  <c r="M111" i="3"/>
  <c r="E112" i="3"/>
  <c r="K112" i="3"/>
  <c r="L112" i="3"/>
  <c r="M112" i="3"/>
  <c r="E113" i="3"/>
  <c r="F113" i="3"/>
  <c r="G113" i="3"/>
  <c r="H113" i="3"/>
  <c r="I113" i="3"/>
  <c r="J113" i="3"/>
  <c r="K113" i="3"/>
  <c r="L113" i="3"/>
  <c r="M113" i="3"/>
  <c r="E116" i="3"/>
  <c r="E116" i="15"/>
  <c r="F116" i="3"/>
  <c r="G116" i="3"/>
  <c r="H116" i="3"/>
  <c r="I116" i="3"/>
  <c r="J116" i="3"/>
  <c r="K116" i="3"/>
  <c r="L116" i="3"/>
  <c r="M116" i="3"/>
  <c r="E117" i="3"/>
  <c r="G117" i="3"/>
  <c r="H117" i="3"/>
  <c r="I117" i="3"/>
  <c r="J117" i="3"/>
  <c r="K117" i="3"/>
  <c r="L117" i="3"/>
  <c r="M117" i="3"/>
  <c r="E118" i="3"/>
  <c r="K118" i="3"/>
  <c r="L118" i="3"/>
  <c r="M118" i="3"/>
  <c r="E119" i="3"/>
  <c r="E119" i="15" s="1"/>
  <c r="F119" i="3"/>
  <c r="G119" i="3"/>
  <c r="G119" i="15" s="1"/>
  <c r="H119" i="3"/>
  <c r="I119" i="3"/>
  <c r="I119" i="15" s="1"/>
  <c r="J119" i="3"/>
  <c r="K119" i="3"/>
  <c r="L119" i="3"/>
  <c r="M119" i="3"/>
  <c r="E120" i="3"/>
  <c r="F120" i="3"/>
  <c r="G120" i="3"/>
  <c r="H120" i="3"/>
  <c r="H120" i="15" s="1"/>
  <c r="I120" i="3"/>
  <c r="J120" i="3"/>
  <c r="J120" i="15" s="1"/>
  <c r="K120" i="3"/>
  <c r="L120" i="3"/>
  <c r="M120" i="3"/>
  <c r="E121" i="3"/>
  <c r="E121" i="15" s="1"/>
  <c r="F121" i="3"/>
  <c r="G121" i="3"/>
  <c r="G121" i="15" s="1"/>
  <c r="H121" i="3"/>
  <c r="I121" i="3"/>
  <c r="J121" i="3"/>
  <c r="J121" i="15" s="1"/>
  <c r="K121" i="3"/>
  <c r="L121" i="3"/>
  <c r="M121" i="3"/>
  <c r="E132" i="3"/>
  <c r="K132" i="3"/>
  <c r="L132" i="3"/>
  <c r="M132" i="3"/>
  <c r="E133" i="3"/>
  <c r="K133" i="3"/>
  <c r="K133" i="15" s="1"/>
  <c r="L133" i="3"/>
  <c r="M133" i="3"/>
  <c r="M133" i="15" s="1"/>
  <c r="E134" i="3"/>
  <c r="K134" i="3"/>
  <c r="L134" i="3"/>
  <c r="M134" i="3"/>
  <c r="E135" i="3"/>
  <c r="E135" i="15" s="1"/>
  <c r="F135" i="3"/>
  <c r="G135" i="3"/>
  <c r="G135" i="15" s="1"/>
  <c r="H135" i="3"/>
  <c r="H135" i="15" s="1"/>
  <c r="I135" i="3"/>
  <c r="I135" i="15"/>
  <c r="J135" i="3"/>
  <c r="K135" i="3"/>
  <c r="L135" i="3"/>
  <c r="M135" i="3"/>
  <c r="E136" i="3"/>
  <c r="E136" i="15"/>
  <c r="F136" i="3"/>
  <c r="G136" i="3"/>
  <c r="G136" i="15" s="1"/>
  <c r="H136" i="3"/>
  <c r="H136" i="15" s="1"/>
  <c r="I136" i="3"/>
  <c r="I136" i="15"/>
  <c r="J136" i="3"/>
  <c r="J136" i="15" s="1"/>
  <c r="K136" i="3"/>
  <c r="L136" i="3"/>
  <c r="M136" i="3"/>
  <c r="E137" i="3"/>
  <c r="E137" i="15"/>
  <c r="F137" i="3"/>
  <c r="G137" i="3"/>
  <c r="G137" i="15" s="1"/>
  <c r="H137" i="3"/>
  <c r="H137" i="15"/>
  <c r="I137" i="3"/>
  <c r="I137" i="15" s="1"/>
  <c r="J137" i="3"/>
  <c r="J137" i="15" s="1"/>
  <c r="K137" i="3"/>
  <c r="L137" i="3"/>
  <c r="M137" i="3"/>
  <c r="E138" i="3"/>
  <c r="E138" i="15"/>
  <c r="F138" i="3"/>
  <c r="G138" i="3"/>
  <c r="G138" i="15" s="1"/>
  <c r="H138" i="3"/>
  <c r="H138" i="15"/>
  <c r="I138" i="3"/>
  <c r="J138" i="3"/>
  <c r="J138" i="15" s="1"/>
  <c r="K138" i="3"/>
  <c r="L138" i="3"/>
  <c r="M138" i="3"/>
  <c r="E139" i="3"/>
  <c r="E139" i="15"/>
  <c r="F139" i="3"/>
  <c r="G139" i="3"/>
  <c r="G139" i="15" s="1"/>
  <c r="H139" i="3"/>
  <c r="H139" i="15" s="1"/>
  <c r="I139" i="3"/>
  <c r="I139" i="15" s="1"/>
  <c r="J139" i="3"/>
  <c r="J139" i="15" s="1"/>
  <c r="K139" i="3"/>
  <c r="L139" i="3"/>
  <c r="M139" i="3"/>
  <c r="D16" i="7"/>
  <c r="E16" i="7"/>
  <c r="G16" i="7"/>
  <c r="H16" i="7"/>
  <c r="I16" i="7"/>
  <c r="J16" i="7"/>
  <c r="D17" i="7"/>
  <c r="E17" i="7"/>
  <c r="G17" i="7"/>
  <c r="H17" i="7"/>
  <c r="I17" i="7"/>
  <c r="J17" i="7"/>
  <c r="D18" i="7"/>
  <c r="E18" i="7"/>
  <c r="G18" i="7"/>
  <c r="H18" i="7"/>
  <c r="J18" i="7"/>
  <c r="D19" i="7"/>
  <c r="E19" i="7"/>
  <c r="G19" i="7"/>
  <c r="H19" i="7"/>
  <c r="I19" i="7"/>
  <c r="J19" i="7"/>
  <c r="D20" i="7"/>
  <c r="E20" i="7"/>
  <c r="G20" i="7"/>
  <c r="H20" i="7"/>
  <c r="I20" i="7"/>
  <c r="J20" i="7"/>
  <c r="D21" i="7"/>
  <c r="E21" i="7"/>
  <c r="G21" i="7"/>
  <c r="H21" i="7"/>
  <c r="I21" i="7"/>
  <c r="J21" i="7"/>
  <c r="D24" i="7"/>
  <c r="E24" i="7"/>
  <c r="G24" i="7"/>
  <c r="I24" i="7"/>
  <c r="J24" i="7"/>
  <c r="D27" i="7"/>
  <c r="E27" i="7"/>
  <c r="G27" i="7"/>
  <c r="H27" i="7"/>
  <c r="I27" i="7"/>
  <c r="J27" i="7"/>
  <c r="D28" i="7"/>
  <c r="E28" i="7"/>
  <c r="G28" i="7"/>
  <c r="H28" i="7"/>
  <c r="I28" i="7"/>
  <c r="J28" i="7"/>
  <c r="D29" i="7"/>
  <c r="E29" i="7"/>
  <c r="G29" i="7"/>
  <c r="H29" i="7"/>
  <c r="I29" i="7"/>
  <c r="J29" i="7"/>
  <c r="D30" i="7"/>
  <c r="E30" i="7"/>
  <c r="G30" i="7"/>
  <c r="H30" i="7"/>
  <c r="I30" i="7"/>
  <c r="J30" i="7"/>
  <c r="D31" i="7"/>
  <c r="E31" i="7"/>
  <c r="G31" i="7"/>
  <c r="H31" i="7"/>
  <c r="I31" i="7"/>
  <c r="J31" i="7"/>
  <c r="D32" i="7"/>
  <c r="E32" i="7"/>
  <c r="G32" i="7"/>
  <c r="H32" i="7"/>
  <c r="I32" i="7"/>
  <c r="J32" i="7"/>
  <c r="D33" i="7"/>
  <c r="E33" i="7"/>
  <c r="F33" i="7"/>
  <c r="G33" i="7"/>
  <c r="H33" i="7"/>
  <c r="I33" i="7"/>
  <c r="J33" i="7"/>
  <c r="D37" i="7"/>
  <c r="E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D41" i="7"/>
  <c r="E41" i="7"/>
  <c r="G41" i="7"/>
  <c r="H41" i="7"/>
  <c r="I41" i="7"/>
  <c r="J41" i="7"/>
  <c r="D42" i="7"/>
  <c r="E42" i="7"/>
  <c r="F42" i="7"/>
  <c r="G42" i="7"/>
  <c r="H42" i="7"/>
  <c r="I42" i="7"/>
  <c r="J42" i="7"/>
  <c r="D43" i="7"/>
  <c r="E43" i="7"/>
  <c r="G43" i="7"/>
  <c r="H43" i="7"/>
  <c r="I43" i="7"/>
  <c r="J43" i="7"/>
  <c r="D44" i="7"/>
  <c r="E44" i="7"/>
  <c r="G44" i="7"/>
  <c r="H44" i="7"/>
  <c r="I44" i="7"/>
  <c r="J44" i="7"/>
  <c r="D45" i="7"/>
  <c r="E45" i="7"/>
  <c r="F45" i="7"/>
  <c r="G45" i="7"/>
  <c r="H45" i="7"/>
  <c r="I45" i="7"/>
  <c r="J45" i="7"/>
  <c r="D46" i="7"/>
  <c r="E46" i="7"/>
  <c r="F46" i="7"/>
  <c r="G46" i="7"/>
  <c r="H46" i="7"/>
  <c r="I46" i="7"/>
  <c r="J46" i="7"/>
  <c r="D48" i="7"/>
  <c r="E48" i="7"/>
  <c r="G48" i="7"/>
  <c r="H48" i="7"/>
  <c r="I48" i="7"/>
  <c r="J48" i="7"/>
  <c r="D49" i="7"/>
  <c r="E49" i="7"/>
  <c r="F49" i="7"/>
  <c r="G49" i="7"/>
  <c r="H49" i="7"/>
  <c r="I49" i="7"/>
  <c r="J49" i="7"/>
  <c r="D51" i="7"/>
  <c r="E51" i="7"/>
  <c r="G51" i="7"/>
  <c r="H51" i="7"/>
  <c r="I51" i="7"/>
  <c r="J51" i="7"/>
  <c r="D52" i="7"/>
  <c r="E52" i="7"/>
  <c r="F52" i="7"/>
  <c r="G52" i="7"/>
  <c r="H52" i="7"/>
  <c r="I52" i="7"/>
  <c r="J52" i="7"/>
  <c r="D54" i="7"/>
  <c r="E54" i="7"/>
  <c r="G54" i="7"/>
  <c r="H54" i="7"/>
  <c r="I54" i="7"/>
  <c r="J54" i="7"/>
  <c r="D55" i="7"/>
  <c r="E55" i="7"/>
  <c r="G55" i="7"/>
  <c r="H55" i="7"/>
  <c r="I55" i="7"/>
  <c r="J55" i="7"/>
  <c r="D56" i="7"/>
  <c r="E56" i="7"/>
  <c r="F56" i="7"/>
  <c r="G56" i="7"/>
  <c r="H56" i="7"/>
  <c r="I56" i="7"/>
  <c r="J56" i="7"/>
  <c r="D57" i="7"/>
  <c r="E57" i="7"/>
  <c r="F57" i="7"/>
  <c r="G57" i="7"/>
  <c r="H57" i="7"/>
  <c r="I57" i="7"/>
  <c r="J57" i="7"/>
  <c r="D58" i="7"/>
  <c r="E58" i="7"/>
  <c r="G58" i="7"/>
  <c r="H58" i="7"/>
  <c r="I58" i="7"/>
  <c r="J58" i="7"/>
  <c r="D60" i="7"/>
  <c r="E60" i="7"/>
  <c r="F60" i="7"/>
  <c r="G60" i="7"/>
  <c r="H60" i="7"/>
  <c r="I60" i="7"/>
  <c r="J60" i="7"/>
  <c r="D61" i="7"/>
  <c r="E61" i="7"/>
  <c r="G61" i="7"/>
  <c r="H61" i="7"/>
  <c r="I61" i="7"/>
  <c r="J61" i="7"/>
  <c r="D62" i="7"/>
  <c r="E62" i="7"/>
  <c r="G62" i="7"/>
  <c r="H62" i="7"/>
  <c r="I62" i="7"/>
  <c r="J62" i="7"/>
  <c r="D63" i="7"/>
  <c r="E63" i="7"/>
  <c r="G63" i="7"/>
  <c r="H63" i="7"/>
  <c r="I63" i="7"/>
  <c r="J63" i="7"/>
  <c r="G65" i="7"/>
  <c r="H65" i="7"/>
  <c r="I65" i="7"/>
  <c r="J65" i="7"/>
  <c r="F66" i="7"/>
  <c r="G66" i="7"/>
  <c r="H66" i="7"/>
  <c r="I66" i="7"/>
  <c r="J66" i="7"/>
  <c r="D67" i="7"/>
  <c r="E67" i="7"/>
  <c r="G67" i="7"/>
  <c r="H67" i="7"/>
  <c r="I67" i="7"/>
  <c r="J67" i="7"/>
  <c r="D68" i="7"/>
  <c r="E68" i="7"/>
  <c r="G68" i="7"/>
  <c r="H68" i="7"/>
  <c r="I68" i="7"/>
  <c r="J68" i="7"/>
  <c r="E69" i="7"/>
  <c r="D70" i="7"/>
  <c r="E70" i="7"/>
  <c r="F70" i="7"/>
  <c r="G70" i="7"/>
  <c r="H70" i="7"/>
  <c r="I70" i="7"/>
  <c r="J70" i="7"/>
  <c r="D71" i="7"/>
  <c r="E71" i="7"/>
  <c r="F71" i="7"/>
  <c r="G71" i="7"/>
  <c r="H71" i="7"/>
  <c r="I71" i="7"/>
  <c r="J71" i="7"/>
  <c r="D72" i="7"/>
  <c r="E72" i="7"/>
  <c r="F72" i="7"/>
  <c r="G72" i="7"/>
  <c r="H72" i="7"/>
  <c r="I72" i="7"/>
  <c r="J72" i="7"/>
  <c r="D73" i="7"/>
  <c r="E73" i="7"/>
  <c r="F73" i="7"/>
  <c r="G73" i="7"/>
  <c r="H73" i="7"/>
  <c r="I73" i="7"/>
  <c r="J73" i="7"/>
  <c r="D74" i="7"/>
  <c r="E74" i="7"/>
  <c r="F74" i="7"/>
  <c r="G74" i="7"/>
  <c r="H74" i="7"/>
  <c r="I74" i="7"/>
  <c r="J74" i="7"/>
  <c r="D75" i="7"/>
  <c r="E75" i="7"/>
  <c r="F75" i="7"/>
  <c r="G75" i="7"/>
  <c r="H75" i="7"/>
  <c r="I75" i="7"/>
  <c r="J75" i="7"/>
  <c r="D77" i="7"/>
  <c r="E77" i="7"/>
  <c r="G77" i="7"/>
  <c r="H77" i="7"/>
  <c r="I77" i="7"/>
  <c r="J77" i="7"/>
  <c r="D79" i="7"/>
  <c r="E79" i="7"/>
  <c r="G79" i="7"/>
  <c r="H79" i="7"/>
  <c r="I79" i="7"/>
  <c r="J79" i="7"/>
  <c r="D80" i="7"/>
  <c r="E80" i="7"/>
  <c r="G80" i="7"/>
  <c r="H80" i="7"/>
  <c r="I80" i="7"/>
  <c r="J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F94" i="7"/>
  <c r="F93" i="7" s="1"/>
  <c r="F92" i="7" s="1"/>
  <c r="G94" i="7"/>
  <c r="H94" i="7"/>
  <c r="I94" i="7"/>
  <c r="I93" i="7" s="1"/>
  <c r="I92" i="7" s="1"/>
  <c r="J94" i="7"/>
  <c r="J93" i="7" s="1"/>
  <c r="J92" i="7" s="1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F107" i="7"/>
  <c r="G107" i="7"/>
  <c r="H107" i="7"/>
  <c r="H93" i="7" s="1"/>
  <c r="H92" i="7" s="1"/>
  <c r="I107" i="7"/>
  <c r="J107" i="7"/>
  <c r="E108" i="7"/>
  <c r="E109" i="7"/>
  <c r="E110" i="7"/>
  <c r="E111" i="7"/>
  <c r="E112" i="7"/>
  <c r="G112" i="7"/>
  <c r="H112" i="7"/>
  <c r="I112" i="7"/>
  <c r="J112" i="7"/>
  <c r="E113" i="7"/>
  <c r="E114" i="7"/>
  <c r="E115" i="7"/>
  <c r="E116" i="7"/>
  <c r="E117" i="7"/>
  <c r="F117" i="7"/>
  <c r="F112" i="7"/>
  <c r="D119" i="7"/>
  <c r="E119" i="7"/>
  <c r="D120" i="7"/>
  <c r="E120" i="7"/>
  <c r="D121" i="7"/>
  <c r="E121" i="7"/>
  <c r="D122" i="7"/>
  <c r="E122" i="7"/>
  <c r="D123" i="7"/>
  <c r="E123" i="7"/>
  <c r="D124" i="7"/>
  <c r="E124" i="7"/>
  <c r="D125" i="7"/>
  <c r="E125" i="7"/>
  <c r="D126" i="7"/>
  <c r="E126" i="7"/>
  <c r="D127" i="7"/>
  <c r="E127" i="7"/>
  <c r="D129" i="7"/>
  <c r="E129" i="7"/>
  <c r="G129" i="7"/>
  <c r="H129" i="7"/>
  <c r="I129" i="7"/>
  <c r="J129" i="7"/>
  <c r="D130" i="7"/>
  <c r="E130" i="7"/>
  <c r="G130" i="7"/>
  <c r="H130" i="7"/>
  <c r="I130" i="7"/>
  <c r="J130" i="7"/>
  <c r="D131" i="7"/>
  <c r="E131" i="7"/>
  <c r="G131" i="7"/>
  <c r="H131" i="7"/>
  <c r="I131" i="7"/>
  <c r="J131" i="7"/>
  <c r="F134" i="7"/>
  <c r="F133" i="7" s="1"/>
  <c r="F132" i="7" s="1"/>
  <c r="G134" i="7"/>
  <c r="G133" i="7" s="1"/>
  <c r="G132" i="7" s="1"/>
  <c r="H134" i="7"/>
  <c r="H133" i="7" s="1"/>
  <c r="H132" i="7" s="1"/>
  <c r="I134" i="7"/>
  <c r="I133" i="7"/>
  <c r="I132" i="7"/>
  <c r="J134" i="7"/>
  <c r="J133" i="7" s="1"/>
  <c r="J132" i="7"/>
  <c r="D15" i="8"/>
  <c r="E15" i="8"/>
  <c r="G15" i="8"/>
  <c r="H15" i="8"/>
  <c r="I15" i="8"/>
  <c r="J15" i="8"/>
  <c r="F16" i="8"/>
  <c r="F16" i="7" s="1"/>
  <c r="F17" i="8"/>
  <c r="F18" i="8"/>
  <c r="F19" i="8"/>
  <c r="F19" i="22" s="1"/>
  <c r="F20" i="8"/>
  <c r="F21" i="8"/>
  <c r="F21" i="22" s="1"/>
  <c r="D23" i="8"/>
  <c r="E23" i="8"/>
  <c r="E23" i="7" s="1"/>
  <c r="G23" i="8"/>
  <c r="H23" i="8"/>
  <c r="H23" i="22" s="1"/>
  <c r="J23" i="8"/>
  <c r="F24" i="8"/>
  <c r="F23" i="8" s="1"/>
  <c r="D26" i="8"/>
  <c r="E26" i="8"/>
  <c r="G26" i="8"/>
  <c r="G26" i="22" s="1"/>
  <c r="H26" i="8"/>
  <c r="I26" i="8"/>
  <c r="J26" i="8"/>
  <c r="F27" i="8"/>
  <c r="F28" i="8"/>
  <c r="F28" i="22" s="1"/>
  <c r="F29" i="8"/>
  <c r="F29" i="22" s="1"/>
  <c r="F30" i="8"/>
  <c r="F30" i="22" s="1"/>
  <c r="F31" i="8"/>
  <c r="F31" i="22" s="1"/>
  <c r="F32" i="8"/>
  <c r="D36" i="8"/>
  <c r="E36" i="8"/>
  <c r="E36" i="22"/>
  <c r="G36" i="8"/>
  <c r="G36" i="22" s="1"/>
  <c r="H36" i="8"/>
  <c r="I36" i="8"/>
  <c r="J36" i="8"/>
  <c r="F37" i="8"/>
  <c r="F37" i="22" s="1"/>
  <c r="F37" i="7"/>
  <c r="D40" i="8"/>
  <c r="E40" i="8"/>
  <c r="G40" i="8"/>
  <c r="H40" i="8"/>
  <c r="I40" i="8"/>
  <c r="J40" i="8"/>
  <c r="F41" i="8"/>
  <c r="F40" i="8"/>
  <c r="F43" i="8"/>
  <c r="F44" i="8"/>
  <c r="D47" i="8"/>
  <c r="E47" i="8"/>
  <c r="G47" i="8"/>
  <c r="H47" i="8"/>
  <c r="I47" i="8"/>
  <c r="I47" i="22" s="1"/>
  <c r="J47" i="8"/>
  <c r="F48" i="8"/>
  <c r="F47" i="8" s="1"/>
  <c r="F48" i="22"/>
  <c r="D50" i="8"/>
  <c r="D50" i="22" s="1"/>
  <c r="E50" i="8"/>
  <c r="E50" i="22"/>
  <c r="G50" i="8"/>
  <c r="H50" i="8"/>
  <c r="H50" i="22" s="1"/>
  <c r="I50" i="8"/>
  <c r="J50" i="8"/>
  <c r="F51" i="8"/>
  <c r="F51" i="7"/>
  <c r="D53" i="8"/>
  <c r="D53" i="22" s="1"/>
  <c r="E53" i="8"/>
  <c r="E53" i="22"/>
  <c r="G53" i="8"/>
  <c r="H53" i="8"/>
  <c r="I53" i="8"/>
  <c r="J53" i="8"/>
  <c r="F54" i="8"/>
  <c r="F54" i="22"/>
  <c r="F55" i="8"/>
  <c r="F55" i="7" s="1"/>
  <c r="F55" i="22"/>
  <c r="F58" i="8"/>
  <c r="F58" i="7"/>
  <c r="G59" i="8"/>
  <c r="H59" i="8"/>
  <c r="I59" i="8"/>
  <c r="J59" i="8"/>
  <c r="F61" i="8"/>
  <c r="F62" i="8"/>
  <c r="F62" i="7"/>
  <c r="G64" i="8"/>
  <c r="H64" i="8"/>
  <c r="I64" i="8"/>
  <c r="J64" i="8"/>
  <c r="F65" i="8"/>
  <c r="D65" i="7"/>
  <c r="F67" i="8"/>
  <c r="F67" i="7"/>
  <c r="F68" i="8"/>
  <c r="D69" i="8"/>
  <c r="D69" i="22" s="1"/>
  <c r="F69" i="8"/>
  <c r="G69" i="8"/>
  <c r="H69" i="8"/>
  <c r="I69" i="8"/>
  <c r="J69" i="8"/>
  <c r="F77" i="8"/>
  <c r="F77" i="7"/>
  <c r="F94" i="8"/>
  <c r="G94" i="8"/>
  <c r="H94" i="8"/>
  <c r="H94" i="22"/>
  <c r="I94" i="8"/>
  <c r="I94" i="22"/>
  <c r="J94" i="8"/>
  <c r="F107" i="8"/>
  <c r="G107" i="8"/>
  <c r="G107" i="22" s="1"/>
  <c r="H107" i="8"/>
  <c r="H107" i="22"/>
  <c r="I107" i="8"/>
  <c r="J107" i="8"/>
  <c r="J107" i="22"/>
  <c r="G112" i="8"/>
  <c r="H112" i="8"/>
  <c r="H112" i="22"/>
  <c r="I112" i="8"/>
  <c r="I112" i="22"/>
  <c r="J112" i="8"/>
  <c r="F117" i="8"/>
  <c r="F112" i="8" s="1"/>
  <c r="F112" i="22" s="1"/>
  <c r="D128" i="8"/>
  <c r="E128" i="8"/>
  <c r="G128" i="8"/>
  <c r="H128" i="8"/>
  <c r="H128" i="22" s="1"/>
  <c r="H128" i="15" s="1"/>
  <c r="I128" i="8"/>
  <c r="J128" i="8"/>
  <c r="J118" i="8" s="1"/>
  <c r="F129" i="8"/>
  <c r="F128" i="8" s="1"/>
  <c r="F128" i="7" s="1"/>
  <c r="F130" i="8"/>
  <c r="F130" i="22"/>
  <c r="F130" i="15" s="1"/>
  <c r="F131" i="8"/>
  <c r="F131" i="22" s="1"/>
  <c r="F131" i="7"/>
  <c r="F134" i="8"/>
  <c r="F133" i="8" s="1"/>
  <c r="F132" i="8"/>
  <c r="G134" i="8"/>
  <c r="G133" i="8"/>
  <c r="G132" i="8" s="1"/>
  <c r="H134" i="8"/>
  <c r="H133" i="8"/>
  <c r="H132" i="8" s="1"/>
  <c r="I134" i="8"/>
  <c r="I133" i="8"/>
  <c r="I132" i="8"/>
  <c r="J134" i="8"/>
  <c r="J133" i="8" s="1"/>
  <c r="J132" i="8"/>
  <c r="G14" i="10"/>
  <c r="F20" i="10"/>
  <c r="F15" i="10" s="1"/>
  <c r="F14" i="10" s="1"/>
  <c r="G20" i="10"/>
  <c r="G15" i="10" s="1"/>
  <c r="H20" i="10"/>
  <c r="H15" i="10" s="1"/>
  <c r="I20" i="10"/>
  <c r="I15" i="10" s="1"/>
  <c r="I14" i="10" s="1"/>
  <c r="J20" i="10"/>
  <c r="J15" i="10" s="1"/>
  <c r="J14" i="10" s="1"/>
  <c r="F26" i="10"/>
  <c r="G26" i="10"/>
  <c r="H26" i="10"/>
  <c r="I26" i="10"/>
  <c r="J26" i="10"/>
  <c r="F36" i="10"/>
  <c r="G36" i="10"/>
  <c r="H36" i="10"/>
  <c r="I36" i="10"/>
  <c r="J36" i="10"/>
  <c r="F40" i="10"/>
  <c r="G40" i="10"/>
  <c r="G35" i="10" s="1"/>
  <c r="H40" i="10"/>
  <c r="I40" i="10"/>
  <c r="J40" i="10"/>
  <c r="F47" i="10"/>
  <c r="G47" i="10"/>
  <c r="H47" i="10"/>
  <c r="I47" i="10"/>
  <c r="J47" i="10"/>
  <c r="F50" i="10"/>
  <c r="G50" i="10"/>
  <c r="H50" i="10"/>
  <c r="I50" i="10"/>
  <c r="I35" i="10"/>
  <c r="J50" i="10"/>
  <c r="F53" i="10"/>
  <c r="G53" i="10"/>
  <c r="H53" i="10"/>
  <c r="I53" i="10"/>
  <c r="J53" i="10"/>
  <c r="F59" i="10"/>
  <c r="G59" i="10"/>
  <c r="H59" i="10"/>
  <c r="I59" i="10"/>
  <c r="J59" i="10"/>
  <c r="F64" i="10"/>
  <c r="G64" i="10"/>
  <c r="H64" i="10"/>
  <c r="I64" i="10"/>
  <c r="J64" i="10"/>
  <c r="F69" i="10"/>
  <c r="G69" i="10"/>
  <c r="H69" i="10"/>
  <c r="I69" i="10"/>
  <c r="J69" i="10"/>
  <c r="F78" i="10"/>
  <c r="G78" i="10"/>
  <c r="H78" i="10"/>
  <c r="I78" i="10"/>
  <c r="J78" i="10"/>
  <c r="D94" i="10"/>
  <c r="D93" i="10" s="1"/>
  <c r="D92" i="10" s="1"/>
  <c r="D13" i="10" s="1"/>
  <c r="D12" i="10" s="1"/>
  <c r="D11" i="10" s="1"/>
  <c r="E94" i="10"/>
  <c r="E93" i="10" s="1"/>
  <c r="E92" i="10" s="1"/>
  <c r="E13" i="10" s="1"/>
  <c r="E12" i="10" s="1"/>
  <c r="E11" i="10" s="1"/>
  <c r="G94" i="10"/>
  <c r="H94" i="10"/>
  <c r="I94" i="10"/>
  <c r="J94" i="10"/>
  <c r="J93" i="10" s="1"/>
  <c r="F97" i="10"/>
  <c r="F98" i="10"/>
  <c r="F107" i="10"/>
  <c r="G107" i="10"/>
  <c r="H107" i="10"/>
  <c r="H93" i="10" s="1"/>
  <c r="I107" i="10"/>
  <c r="J107" i="10"/>
  <c r="F112" i="10"/>
  <c r="G112" i="10"/>
  <c r="H112" i="10"/>
  <c r="I112" i="10"/>
  <c r="J112" i="10"/>
  <c r="J133" i="10"/>
  <c r="J132" i="10" s="1"/>
  <c r="J118" i="10" s="1"/>
  <c r="F134" i="10"/>
  <c r="F133" i="10"/>
  <c r="F132" i="10" s="1"/>
  <c r="F118" i="10" s="1"/>
  <c r="G134" i="10"/>
  <c r="G133" i="10"/>
  <c r="G132" i="10" s="1"/>
  <c r="G118" i="10" s="1"/>
  <c r="H134" i="10"/>
  <c r="H133" i="10"/>
  <c r="H132" i="10" s="1"/>
  <c r="H118" i="10" s="1"/>
  <c r="I134" i="10"/>
  <c r="I133" i="10"/>
  <c r="I132" i="10" s="1"/>
  <c r="I118" i="10" s="1"/>
  <c r="J134" i="10"/>
  <c r="K13" i="11"/>
  <c r="K12" i="11" s="1"/>
  <c r="K11" i="11" s="1"/>
  <c r="J15" i="11"/>
  <c r="J14" i="11" s="1"/>
  <c r="F20" i="11"/>
  <c r="F15" i="11" s="1"/>
  <c r="F14" i="11" s="1"/>
  <c r="G20" i="11"/>
  <c r="G15" i="11"/>
  <c r="G14" i="11" s="1"/>
  <c r="H20" i="11"/>
  <c r="H15" i="11" s="1"/>
  <c r="I20" i="11"/>
  <c r="I15" i="11" s="1"/>
  <c r="I14" i="11" s="1"/>
  <c r="J20" i="11"/>
  <c r="F26" i="11"/>
  <c r="G26" i="11"/>
  <c r="H26" i="11"/>
  <c r="I26" i="11"/>
  <c r="J26" i="11"/>
  <c r="L34" i="11"/>
  <c r="M34" i="11" s="1"/>
  <c r="M13" i="11" s="1"/>
  <c r="M12" i="11" s="1"/>
  <c r="M11" i="11" s="1"/>
  <c r="L13" i="11"/>
  <c r="L12" i="11" s="1"/>
  <c r="L11" i="11" s="1"/>
  <c r="F36" i="11"/>
  <c r="G36" i="11"/>
  <c r="H36" i="11"/>
  <c r="I36" i="11"/>
  <c r="J36" i="11"/>
  <c r="F40" i="11"/>
  <c r="G40" i="11"/>
  <c r="H40" i="11"/>
  <c r="I40" i="11"/>
  <c r="I35" i="11" s="1"/>
  <c r="J40" i="11"/>
  <c r="F47" i="11"/>
  <c r="G47" i="11"/>
  <c r="H47" i="11"/>
  <c r="I47" i="11"/>
  <c r="J47" i="11"/>
  <c r="F50" i="11"/>
  <c r="G50" i="11"/>
  <c r="H50" i="11"/>
  <c r="I50" i="11"/>
  <c r="J50" i="11"/>
  <c r="F53" i="11"/>
  <c r="G53" i="11"/>
  <c r="H53" i="11"/>
  <c r="I53" i="11"/>
  <c r="J53" i="11"/>
  <c r="F58" i="11"/>
  <c r="F59" i="11"/>
  <c r="G59" i="11"/>
  <c r="H59" i="11"/>
  <c r="I59" i="11"/>
  <c r="J59" i="11"/>
  <c r="F64" i="11"/>
  <c r="G64" i="11"/>
  <c r="H64" i="11"/>
  <c r="I64" i="11"/>
  <c r="J64" i="11"/>
  <c r="F69" i="11"/>
  <c r="G69" i="11"/>
  <c r="H69" i="11"/>
  <c r="I69" i="11"/>
  <c r="J69" i="11"/>
  <c r="H76" i="11"/>
  <c r="D78" i="11"/>
  <c r="D34" i="11"/>
  <c r="D13" i="11" s="1"/>
  <c r="D12" i="11" s="1"/>
  <c r="D11" i="11" s="1"/>
  <c r="E78" i="11"/>
  <c r="E34" i="11" s="1"/>
  <c r="E13" i="11" s="1"/>
  <c r="E12" i="11" s="1"/>
  <c r="E11" i="11" s="1"/>
  <c r="G78" i="11"/>
  <c r="G76" i="11"/>
  <c r="H78" i="11"/>
  <c r="I78" i="11"/>
  <c r="I76" i="11" s="1"/>
  <c r="J78" i="11"/>
  <c r="J76" i="11" s="1"/>
  <c r="F79" i="11"/>
  <c r="F78" i="11" s="1"/>
  <c r="F76" i="11" s="1"/>
  <c r="F94" i="11"/>
  <c r="G94" i="11"/>
  <c r="G93" i="11" s="1"/>
  <c r="G92" i="11" s="1"/>
  <c r="H94" i="11"/>
  <c r="H93" i="11" s="1"/>
  <c r="H92" i="11" s="1"/>
  <c r="I94" i="11"/>
  <c r="J94" i="11"/>
  <c r="F107" i="11"/>
  <c r="F93" i="11" s="1"/>
  <c r="F92" i="11" s="1"/>
  <c r="G107" i="11"/>
  <c r="H107" i="11"/>
  <c r="I107" i="11"/>
  <c r="J107" i="11"/>
  <c r="J93" i="11" s="1"/>
  <c r="J92" i="11" s="1"/>
  <c r="F112" i="11"/>
  <c r="G112" i="11"/>
  <c r="H112" i="11"/>
  <c r="I112" i="11"/>
  <c r="J112" i="11"/>
  <c r="I133" i="11"/>
  <c r="I132" i="11" s="1"/>
  <c r="I118" i="11" s="1"/>
  <c r="F134" i="11"/>
  <c r="F133" i="11"/>
  <c r="F132" i="11" s="1"/>
  <c r="F118" i="11" s="1"/>
  <c r="G134" i="11"/>
  <c r="G133" i="11" s="1"/>
  <c r="G132" i="11" s="1"/>
  <c r="G118" i="11" s="1"/>
  <c r="H134" i="11"/>
  <c r="H133" i="11"/>
  <c r="H132" i="11" s="1"/>
  <c r="H118" i="11" s="1"/>
  <c r="I134" i="11"/>
  <c r="J134" i="11"/>
  <c r="J133" i="11" s="1"/>
  <c r="J132" i="11" s="1"/>
  <c r="J118" i="11" s="1"/>
  <c r="K78" i="12"/>
  <c r="L78" i="12"/>
  <c r="M78" i="12"/>
  <c r="K112" i="12"/>
  <c r="K112" i="15" s="1"/>
  <c r="D15" i="13"/>
  <c r="H15" i="13"/>
  <c r="H15" i="12" s="1"/>
  <c r="I15" i="13"/>
  <c r="I14" i="13" s="1"/>
  <c r="J15" i="13"/>
  <c r="F17" i="13"/>
  <c r="F18" i="13"/>
  <c r="F19" i="13"/>
  <c r="F20" i="13"/>
  <c r="F21" i="13"/>
  <c r="D23" i="13"/>
  <c r="E23" i="13"/>
  <c r="G23" i="13"/>
  <c r="H23" i="13"/>
  <c r="I23" i="13"/>
  <c r="J23" i="13"/>
  <c r="F24" i="13"/>
  <c r="F23" i="13" s="1"/>
  <c r="F25" i="13"/>
  <c r="D26" i="13"/>
  <c r="E26" i="13"/>
  <c r="E14" i="13" s="1"/>
  <c r="G26" i="13"/>
  <c r="H26" i="13"/>
  <c r="I26" i="13"/>
  <c r="J26" i="13"/>
  <c r="J26" i="12" s="1"/>
  <c r="F27" i="13"/>
  <c r="F28" i="13"/>
  <c r="F29" i="13"/>
  <c r="F30" i="13"/>
  <c r="F31" i="13"/>
  <c r="F33" i="13"/>
  <c r="D36" i="13"/>
  <c r="E36" i="13"/>
  <c r="G36" i="13"/>
  <c r="H36" i="13"/>
  <c r="I36" i="13"/>
  <c r="J36" i="13"/>
  <c r="F37" i="13"/>
  <c r="F38" i="13"/>
  <c r="F36" i="13"/>
  <c r="F39" i="13"/>
  <c r="F39" i="12"/>
  <c r="D40" i="13"/>
  <c r="E40" i="13"/>
  <c r="G40" i="13"/>
  <c r="H40" i="13"/>
  <c r="I40" i="13"/>
  <c r="J40" i="13"/>
  <c r="F41" i="13"/>
  <c r="F42" i="13"/>
  <c r="F42" i="12" s="1"/>
  <c r="F44" i="13"/>
  <c r="F44" i="12" s="1"/>
  <c r="F45" i="13"/>
  <c r="F46" i="13"/>
  <c r="D47" i="13"/>
  <c r="E47" i="13"/>
  <c r="G47" i="13"/>
  <c r="H47" i="13"/>
  <c r="I47" i="13"/>
  <c r="J47" i="13"/>
  <c r="F48" i="13"/>
  <c r="F49" i="13"/>
  <c r="F49" i="12" s="1"/>
  <c r="D50" i="13"/>
  <c r="E50" i="13"/>
  <c r="G50" i="13"/>
  <c r="H50" i="13"/>
  <c r="I50" i="13"/>
  <c r="I50" i="12" s="1"/>
  <c r="J50" i="13"/>
  <c r="F51" i="13"/>
  <c r="F52" i="13"/>
  <c r="F52" i="12" s="1"/>
  <c r="D53" i="13"/>
  <c r="E53" i="13"/>
  <c r="G53" i="13"/>
  <c r="G35" i="13"/>
  <c r="H53" i="13"/>
  <c r="I53" i="13"/>
  <c r="J53" i="13"/>
  <c r="F54" i="13"/>
  <c r="F55" i="13"/>
  <c r="F56" i="13"/>
  <c r="F57" i="13"/>
  <c r="F57" i="12"/>
  <c r="F57" i="15" s="1"/>
  <c r="D59" i="13"/>
  <c r="E59" i="13"/>
  <c r="H59" i="13"/>
  <c r="I59" i="13"/>
  <c r="J59" i="13"/>
  <c r="F60" i="13"/>
  <c r="F62" i="13"/>
  <c r="F63" i="13"/>
  <c r="D64" i="13"/>
  <c r="E64" i="13"/>
  <c r="G64" i="13"/>
  <c r="I64" i="13"/>
  <c r="J64" i="13"/>
  <c r="F65" i="13"/>
  <c r="D69" i="13"/>
  <c r="D69" i="12"/>
  <c r="D69" i="15" s="1"/>
  <c r="E69" i="13"/>
  <c r="E69" i="12" s="1"/>
  <c r="E69" i="15" s="1"/>
  <c r="G69" i="13"/>
  <c r="H69" i="13"/>
  <c r="I69" i="13"/>
  <c r="F71" i="13"/>
  <c r="F71" i="12" s="1"/>
  <c r="F72" i="13"/>
  <c r="F72" i="12"/>
  <c r="F73" i="13"/>
  <c r="F73" i="12"/>
  <c r="F73" i="15" s="1"/>
  <c r="F74" i="13"/>
  <c r="F74" i="12" s="1"/>
  <c r="F74" i="15" s="1"/>
  <c r="F77" i="13"/>
  <c r="F80" i="13"/>
  <c r="F80" i="12" s="1"/>
  <c r="F81" i="13"/>
  <c r="F81" i="12" s="1"/>
  <c r="F82" i="13"/>
  <c r="F85" i="13"/>
  <c r="F85" i="12"/>
  <c r="D94" i="13"/>
  <c r="D94" i="12"/>
  <c r="E94" i="13"/>
  <c r="E94" i="12"/>
  <c r="G94" i="13"/>
  <c r="H94" i="13"/>
  <c r="I94" i="13"/>
  <c r="J94" i="13"/>
  <c r="F99" i="13"/>
  <c r="F99" i="12"/>
  <c r="F100" i="13"/>
  <c r="F100" i="12"/>
  <c r="F101" i="13"/>
  <c r="F101" i="12"/>
  <c r="F102" i="13"/>
  <c r="F102" i="12"/>
  <c r="F103" i="13"/>
  <c r="F103" i="12"/>
  <c r="F104" i="13"/>
  <c r="F104" i="12"/>
  <c r="F105" i="13"/>
  <c r="F105" i="12"/>
  <c r="F106" i="13"/>
  <c r="F106" i="12"/>
  <c r="D107" i="13"/>
  <c r="D107" i="12"/>
  <c r="E107" i="13"/>
  <c r="E107" i="12"/>
  <c r="G107" i="13"/>
  <c r="H107" i="13"/>
  <c r="I107" i="13"/>
  <c r="I93" i="13"/>
  <c r="I92" i="13" s="1"/>
  <c r="J107" i="13"/>
  <c r="F109" i="13"/>
  <c r="F109" i="12"/>
  <c r="F110" i="13"/>
  <c r="F110" i="12"/>
  <c r="F111" i="13"/>
  <c r="F111" i="12"/>
  <c r="L112" i="12"/>
  <c r="L112" i="15"/>
  <c r="M112" i="12"/>
  <c r="M112" i="15"/>
  <c r="D113" i="13"/>
  <c r="D112" i="13"/>
  <c r="D112" i="12" s="1"/>
  <c r="D112" i="15" s="1"/>
  <c r="E113" i="13"/>
  <c r="E113" i="12"/>
  <c r="G113" i="13"/>
  <c r="G113" i="12"/>
  <c r="G113" i="15" s="1"/>
  <c r="H113" i="13"/>
  <c r="H113" i="12" s="1"/>
  <c r="I113" i="13"/>
  <c r="I113" i="12" s="1"/>
  <c r="I113" i="15" s="1"/>
  <c r="J113" i="13"/>
  <c r="J113" i="12"/>
  <c r="J113" i="15" s="1"/>
  <c r="F114" i="13"/>
  <c r="F114" i="12" s="1"/>
  <c r="F114" i="15" s="1"/>
  <c r="F115" i="13"/>
  <c r="F115" i="12"/>
  <c r="F116" i="13"/>
  <c r="F116" i="12"/>
  <c r="H117" i="13"/>
  <c r="I117" i="13"/>
  <c r="I117" i="12" s="1"/>
  <c r="L122" i="13"/>
  <c r="D123" i="13"/>
  <c r="E123" i="13"/>
  <c r="E122" i="13"/>
  <c r="F123" i="13"/>
  <c r="F123" i="12"/>
  <c r="G123" i="13"/>
  <c r="G123" i="12"/>
  <c r="G123" i="15" s="1"/>
  <c r="H123" i="13"/>
  <c r="I123" i="13"/>
  <c r="I123" i="12" s="1"/>
  <c r="J123" i="13"/>
  <c r="D125" i="13"/>
  <c r="D122" i="13"/>
  <c r="E125" i="13"/>
  <c r="E125" i="12"/>
  <c r="E125" i="15" s="1"/>
  <c r="G125" i="13"/>
  <c r="G125" i="12"/>
  <c r="G125" i="15" s="1"/>
  <c r="H125" i="13"/>
  <c r="H125" i="12" s="1"/>
  <c r="I125" i="13"/>
  <c r="J125" i="13"/>
  <c r="J125" i="12"/>
  <c r="F126" i="13"/>
  <c r="F126" i="12" s="1"/>
  <c r="F127" i="13"/>
  <c r="F127" i="12" s="1"/>
  <c r="D134" i="13"/>
  <c r="D134" i="12" s="1"/>
  <c r="D134" i="15" s="1"/>
  <c r="E134" i="13"/>
  <c r="E134" i="12"/>
  <c r="E134" i="15" s="1"/>
  <c r="G134" i="13"/>
  <c r="G133" i="13" s="1"/>
  <c r="G132" i="13" s="1"/>
  <c r="F136" i="13"/>
  <c r="F136" i="12"/>
  <c r="F136" i="15" s="1"/>
  <c r="F137" i="13"/>
  <c r="F137" i="12" s="1"/>
  <c r="F138" i="13"/>
  <c r="F138" i="12"/>
  <c r="F138" i="15" s="1"/>
  <c r="F139" i="13"/>
  <c r="F139" i="12" s="1"/>
  <c r="F139" i="15" s="1"/>
  <c r="A12" i="19"/>
  <c r="A13" i="19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D15" i="19"/>
  <c r="E15" i="19"/>
  <c r="G15" i="19"/>
  <c r="H15" i="19"/>
  <c r="H14" i="19" s="1"/>
  <c r="I15" i="19"/>
  <c r="J15" i="19"/>
  <c r="J14" i="19" s="1"/>
  <c r="F16" i="19"/>
  <c r="F17" i="19"/>
  <c r="F18" i="19"/>
  <c r="F20" i="19"/>
  <c r="F21" i="19"/>
  <c r="F23" i="19"/>
  <c r="D24" i="19"/>
  <c r="E24" i="19"/>
  <c r="G24" i="19"/>
  <c r="H24" i="19"/>
  <c r="I24" i="19"/>
  <c r="J24" i="19"/>
  <c r="F25" i="19"/>
  <c r="D26" i="19"/>
  <c r="E26" i="19"/>
  <c r="E14" i="19" s="1"/>
  <c r="G26" i="19"/>
  <c r="H26" i="19"/>
  <c r="I26" i="19"/>
  <c r="J26" i="19"/>
  <c r="F27" i="19"/>
  <c r="G29" i="19"/>
  <c r="H29" i="19"/>
  <c r="I29" i="19"/>
  <c r="J29" i="19"/>
  <c r="D41" i="19"/>
  <c r="D28" i="19"/>
  <c r="E41" i="19"/>
  <c r="E28" i="19"/>
  <c r="G41" i="19"/>
  <c r="H41" i="19"/>
  <c r="H28" i="19" s="1"/>
  <c r="I41" i="19"/>
  <c r="I28" i="19" s="1"/>
  <c r="J41" i="19"/>
  <c r="J28" i="19" s="1"/>
  <c r="F42" i="19"/>
  <c r="F43" i="19"/>
  <c r="F44" i="19"/>
  <c r="G45" i="19"/>
  <c r="F45" i="19" s="1"/>
  <c r="H45" i="19"/>
  <c r="I45" i="19"/>
  <c r="J45" i="19"/>
  <c r="F48" i="19"/>
  <c r="G56" i="19"/>
  <c r="H56" i="19"/>
  <c r="I56" i="19"/>
  <c r="J56" i="19"/>
  <c r="F57" i="19"/>
  <c r="D15" i="4"/>
  <c r="E15" i="4"/>
  <c r="G15" i="4"/>
  <c r="H15" i="4"/>
  <c r="I15" i="4"/>
  <c r="J15" i="4"/>
  <c r="F16" i="4"/>
  <c r="F17" i="4"/>
  <c r="F18" i="4"/>
  <c r="F19" i="4"/>
  <c r="F20" i="4"/>
  <c r="F21" i="4"/>
  <c r="D23" i="4"/>
  <c r="E23" i="4"/>
  <c r="G23" i="4"/>
  <c r="H23" i="4"/>
  <c r="I24" i="4"/>
  <c r="I24" i="3"/>
  <c r="I24" i="15" s="1"/>
  <c r="J24" i="4"/>
  <c r="J23" i="4"/>
  <c r="F25" i="4"/>
  <c r="F25" i="3"/>
  <c r="F25" i="15" s="1"/>
  <c r="H25" i="4"/>
  <c r="H25" i="3"/>
  <c r="H25" i="15" s="1"/>
  <c r="D26" i="4"/>
  <c r="D14" i="4"/>
  <c r="E26" i="4"/>
  <c r="G26" i="4"/>
  <c r="H26" i="4"/>
  <c r="I26" i="4"/>
  <c r="J26" i="4"/>
  <c r="F27" i="4"/>
  <c r="F28" i="4"/>
  <c r="F29" i="4"/>
  <c r="F30" i="4"/>
  <c r="F31" i="4"/>
  <c r="F32" i="4"/>
  <c r="D36" i="4"/>
  <c r="E36" i="4"/>
  <c r="G36" i="4"/>
  <c r="H36" i="4"/>
  <c r="I36" i="4"/>
  <c r="J36" i="4"/>
  <c r="J35" i="4" s="1"/>
  <c r="F37" i="4"/>
  <c r="F36" i="4"/>
  <c r="D40" i="4"/>
  <c r="E40" i="4"/>
  <c r="G40" i="4"/>
  <c r="H40" i="4"/>
  <c r="I40" i="4"/>
  <c r="J40" i="4"/>
  <c r="F41" i="4"/>
  <c r="F43" i="4"/>
  <c r="F44" i="4"/>
  <c r="D47" i="4"/>
  <c r="D35" i="4" s="1"/>
  <c r="E47" i="4"/>
  <c r="H47" i="4"/>
  <c r="F48" i="4"/>
  <c r="D50" i="4"/>
  <c r="E50" i="4"/>
  <c r="H50" i="4"/>
  <c r="F51" i="4"/>
  <c r="D53" i="4"/>
  <c r="E53" i="4"/>
  <c r="G53" i="4"/>
  <c r="H53" i="4"/>
  <c r="I53" i="4"/>
  <c r="J53" i="4"/>
  <c r="F54" i="4"/>
  <c r="F55" i="4"/>
  <c r="F58" i="4"/>
  <c r="D59" i="4"/>
  <c r="E59" i="4"/>
  <c r="G59" i="4"/>
  <c r="H59" i="4"/>
  <c r="I59" i="4"/>
  <c r="J59" i="4"/>
  <c r="F61" i="4"/>
  <c r="F62" i="4"/>
  <c r="G64" i="4"/>
  <c r="H64" i="4"/>
  <c r="I64" i="4"/>
  <c r="J64" i="4"/>
  <c r="G69" i="4"/>
  <c r="H69" i="4"/>
  <c r="I69" i="4"/>
  <c r="J69" i="4"/>
  <c r="H72" i="4"/>
  <c r="F72" i="4" s="1"/>
  <c r="F77" i="4"/>
  <c r="G76" i="4"/>
  <c r="F83" i="4"/>
  <c r="F84" i="4"/>
  <c r="F85" i="4"/>
  <c r="F86" i="4"/>
  <c r="F87" i="4"/>
  <c r="F87" i="3"/>
  <c r="F87" i="15" s="1"/>
  <c r="F94" i="4"/>
  <c r="G94" i="4"/>
  <c r="H94" i="4"/>
  <c r="I94" i="4"/>
  <c r="J94" i="4"/>
  <c r="F107" i="4"/>
  <c r="G107" i="4"/>
  <c r="H107" i="4"/>
  <c r="I107" i="4"/>
  <c r="I93" i="4" s="1"/>
  <c r="I92" i="4" s="1"/>
  <c r="J107" i="4"/>
  <c r="G112" i="4"/>
  <c r="H112" i="4"/>
  <c r="I112" i="4"/>
  <c r="J112" i="4"/>
  <c r="F117" i="4"/>
  <c r="F112" i="4" s="1"/>
  <c r="F134" i="4"/>
  <c r="F133" i="4"/>
  <c r="F132" i="4" s="1"/>
  <c r="F118" i="4" s="1"/>
  <c r="G134" i="4"/>
  <c r="G133" i="4"/>
  <c r="G132" i="4" s="1"/>
  <c r="G118" i="4"/>
  <c r="H134" i="4"/>
  <c r="I134" i="4"/>
  <c r="I133" i="4"/>
  <c r="I132" i="4" s="1"/>
  <c r="I118" i="4" s="1"/>
  <c r="J134" i="4"/>
  <c r="J133" i="4"/>
  <c r="J132" i="4" s="1"/>
  <c r="J118" i="4"/>
  <c r="D15" i="6"/>
  <c r="D14" i="6"/>
  <c r="E15" i="6"/>
  <c r="E14" i="6"/>
  <c r="G15" i="6"/>
  <c r="H15" i="6"/>
  <c r="I15" i="6"/>
  <c r="J15" i="6"/>
  <c r="F16" i="6"/>
  <c r="F17" i="6"/>
  <c r="F18" i="6"/>
  <c r="F19" i="6"/>
  <c r="F20" i="6"/>
  <c r="F21" i="6"/>
  <c r="E23" i="6"/>
  <c r="G23" i="6"/>
  <c r="H23" i="6"/>
  <c r="J23" i="6"/>
  <c r="F24" i="6"/>
  <c r="F23" i="6" s="1"/>
  <c r="G26" i="6"/>
  <c r="H26" i="6"/>
  <c r="I26" i="6"/>
  <c r="J26" i="6"/>
  <c r="F27" i="6"/>
  <c r="F28" i="6"/>
  <c r="F29" i="6"/>
  <c r="F30" i="6"/>
  <c r="F31" i="6"/>
  <c r="F32" i="6"/>
  <c r="D36" i="6"/>
  <c r="E36" i="6"/>
  <c r="G36" i="6"/>
  <c r="H36" i="6"/>
  <c r="I36" i="6"/>
  <c r="J36" i="6"/>
  <c r="F37" i="6"/>
  <c r="F36" i="6" s="1"/>
  <c r="D40" i="6"/>
  <c r="E40" i="6"/>
  <c r="G40" i="6"/>
  <c r="H40" i="6"/>
  <c r="I40" i="6"/>
  <c r="J40" i="6"/>
  <c r="F41" i="6"/>
  <c r="F43" i="6"/>
  <c r="F44" i="6"/>
  <c r="D47" i="6"/>
  <c r="E47" i="6"/>
  <c r="E35" i="6" s="1"/>
  <c r="G47" i="6"/>
  <c r="H47" i="6"/>
  <c r="I47" i="6"/>
  <c r="J47" i="6"/>
  <c r="F48" i="6"/>
  <c r="F47" i="6" s="1"/>
  <c r="D50" i="6"/>
  <c r="E50" i="6"/>
  <c r="G50" i="6"/>
  <c r="H50" i="6"/>
  <c r="I50" i="6"/>
  <c r="J50" i="6"/>
  <c r="F51" i="6"/>
  <c r="F50" i="6" s="1"/>
  <c r="D53" i="6"/>
  <c r="E53" i="6"/>
  <c r="G53" i="6"/>
  <c r="H53" i="6"/>
  <c r="I53" i="6"/>
  <c r="J53" i="6"/>
  <c r="J35" i="6" s="1"/>
  <c r="J34" i="6"/>
  <c r="F54" i="6"/>
  <c r="F55" i="6"/>
  <c r="F58" i="6"/>
  <c r="D59" i="6"/>
  <c r="E59" i="6"/>
  <c r="G59" i="6"/>
  <c r="H59" i="6"/>
  <c r="I59" i="6"/>
  <c r="I59" i="3"/>
  <c r="J59" i="6"/>
  <c r="F60" i="6"/>
  <c r="F61" i="6"/>
  <c r="F62" i="6"/>
  <c r="F63" i="6"/>
  <c r="G64" i="6"/>
  <c r="H64" i="6"/>
  <c r="I64" i="6"/>
  <c r="J64" i="6"/>
  <c r="F67" i="6"/>
  <c r="F64" i="6"/>
  <c r="F68" i="6"/>
  <c r="G69" i="6"/>
  <c r="H69" i="6"/>
  <c r="I69" i="6"/>
  <c r="J69" i="6"/>
  <c r="F72" i="6"/>
  <c r="H72" i="6"/>
  <c r="F77" i="6"/>
  <c r="J76" i="6"/>
  <c r="F82" i="6"/>
  <c r="D93" i="6"/>
  <c r="D92" i="6"/>
  <c r="E94" i="6"/>
  <c r="E93" i="6"/>
  <c r="G94" i="6"/>
  <c r="H94" i="6"/>
  <c r="I94" i="6"/>
  <c r="J94" i="6"/>
  <c r="F102" i="6"/>
  <c r="F94" i="6"/>
  <c r="F107" i="6"/>
  <c r="G107" i="6"/>
  <c r="H107" i="6"/>
  <c r="I107" i="6"/>
  <c r="J107" i="6"/>
  <c r="J93" i="6"/>
  <c r="G112" i="6"/>
  <c r="H112" i="6"/>
  <c r="I112" i="6"/>
  <c r="J112" i="6"/>
  <c r="F117" i="6"/>
  <c r="F112" i="6"/>
  <c r="F134" i="6"/>
  <c r="F133" i="6"/>
  <c r="F132" i="6" s="1"/>
  <c r="F118" i="6"/>
  <c r="G134" i="6"/>
  <c r="G133" i="6"/>
  <c r="G132" i="6" s="1"/>
  <c r="G118" i="6"/>
  <c r="H134" i="6"/>
  <c r="H133" i="6" s="1"/>
  <c r="H132" i="6" s="1"/>
  <c r="H118" i="6" s="1"/>
  <c r="I134" i="6"/>
  <c r="I133" i="6"/>
  <c r="I132" i="6" s="1"/>
  <c r="I118" i="6" s="1"/>
  <c r="J134" i="6"/>
  <c r="J133" i="6"/>
  <c r="J132" i="6" s="1"/>
  <c r="J118" i="6"/>
  <c r="D15" i="9"/>
  <c r="D15" i="7" s="1"/>
  <c r="E15" i="9"/>
  <c r="E15" i="7" s="1"/>
  <c r="G15" i="9"/>
  <c r="H15" i="9"/>
  <c r="I15" i="9"/>
  <c r="I15" i="7" s="1"/>
  <c r="J15" i="9"/>
  <c r="F16" i="9"/>
  <c r="F17" i="9"/>
  <c r="F18" i="9"/>
  <c r="F18" i="7" s="1"/>
  <c r="F19" i="9"/>
  <c r="F19" i="7" s="1"/>
  <c r="F20" i="9"/>
  <c r="F20" i="7" s="1"/>
  <c r="F21" i="9"/>
  <c r="D23" i="9"/>
  <c r="E23" i="9"/>
  <c r="G23" i="9"/>
  <c r="I23" i="9"/>
  <c r="J23" i="9"/>
  <c r="H24" i="9"/>
  <c r="H24" i="7" s="1"/>
  <c r="D26" i="9"/>
  <c r="D26" i="7" s="1"/>
  <c r="E26" i="9"/>
  <c r="G26" i="9"/>
  <c r="G14" i="9" s="1"/>
  <c r="H26" i="9"/>
  <c r="H26" i="7" s="1"/>
  <c r="I26" i="9"/>
  <c r="J26" i="9"/>
  <c r="F32" i="9" s="1"/>
  <c r="F32" i="7" s="1"/>
  <c r="F27" i="9"/>
  <c r="F28" i="9"/>
  <c r="F29" i="9"/>
  <c r="F30" i="9"/>
  <c r="F30" i="7" s="1"/>
  <c r="F31" i="9"/>
  <c r="D36" i="9"/>
  <c r="E36" i="9"/>
  <c r="F36" i="9"/>
  <c r="G36" i="9"/>
  <c r="G35" i="9" s="1"/>
  <c r="H36" i="9"/>
  <c r="I36" i="9"/>
  <c r="I35" i="9"/>
  <c r="I34" i="9" s="1"/>
  <c r="J36" i="9"/>
  <c r="D40" i="9"/>
  <c r="D40" i="7" s="1"/>
  <c r="E40" i="9"/>
  <c r="E40" i="7" s="1"/>
  <c r="F40" i="9"/>
  <c r="G40" i="9"/>
  <c r="G40" i="7" s="1"/>
  <c r="H40" i="9"/>
  <c r="H40" i="7"/>
  <c r="I40" i="9"/>
  <c r="J40" i="9"/>
  <c r="F43" i="9"/>
  <c r="F44" i="9"/>
  <c r="F44" i="7" s="1"/>
  <c r="D47" i="9"/>
  <c r="E47" i="9"/>
  <c r="G47" i="9"/>
  <c r="H47" i="9"/>
  <c r="H47" i="7" s="1"/>
  <c r="I47" i="9"/>
  <c r="J47" i="9"/>
  <c r="F48" i="9"/>
  <c r="F48" i="7" s="1"/>
  <c r="D50" i="9"/>
  <c r="D35" i="9" s="1"/>
  <c r="D34" i="9" s="1"/>
  <c r="D13" i="9" s="1"/>
  <c r="D12" i="9" s="1"/>
  <c r="D11" i="9" s="1"/>
  <c r="D50" i="7"/>
  <c r="E50" i="9"/>
  <c r="F50" i="9"/>
  <c r="G50" i="9"/>
  <c r="H50" i="9"/>
  <c r="I50" i="9"/>
  <c r="J50" i="9"/>
  <c r="J50" i="7" s="1"/>
  <c r="D53" i="9"/>
  <c r="D53" i="7" s="1"/>
  <c r="E53" i="9"/>
  <c r="G53" i="9"/>
  <c r="G53" i="7" s="1"/>
  <c r="H53" i="9"/>
  <c r="I53" i="9"/>
  <c r="J53" i="9"/>
  <c r="J53" i="7" s="1"/>
  <c r="F54" i="9"/>
  <c r="F53" i="9" s="1"/>
  <c r="D59" i="9"/>
  <c r="E59" i="9"/>
  <c r="G59" i="9"/>
  <c r="H59" i="9"/>
  <c r="H59" i="7" s="1"/>
  <c r="I59" i="9"/>
  <c r="I59" i="7" s="1"/>
  <c r="J59" i="9"/>
  <c r="F61" i="9"/>
  <c r="F59" i="9" s="1"/>
  <c r="F63" i="9"/>
  <c r="F63" i="7" s="1"/>
  <c r="D64" i="9"/>
  <c r="E64" i="9"/>
  <c r="G64" i="9"/>
  <c r="H64" i="9"/>
  <c r="I64" i="9"/>
  <c r="I64" i="7" s="1"/>
  <c r="J64" i="9"/>
  <c r="J64" i="7" s="1"/>
  <c r="F65" i="9"/>
  <c r="F65" i="7" s="1"/>
  <c r="F68" i="9"/>
  <c r="F68" i="7" s="1"/>
  <c r="D69" i="9"/>
  <c r="F69" i="9"/>
  <c r="F69" i="7" s="1"/>
  <c r="G69" i="9"/>
  <c r="H69" i="9"/>
  <c r="I69" i="9"/>
  <c r="I69" i="7" s="1"/>
  <c r="J69" i="9"/>
  <c r="J69" i="7" s="1"/>
  <c r="D78" i="9"/>
  <c r="E78" i="9"/>
  <c r="F78" i="9"/>
  <c r="G78" i="9"/>
  <c r="H78" i="9"/>
  <c r="I78" i="9"/>
  <c r="J78" i="9"/>
  <c r="F80" i="9"/>
  <c r="F94" i="9"/>
  <c r="G94" i="9"/>
  <c r="G93" i="9" s="1"/>
  <c r="G92" i="9" s="1"/>
  <c r="H94" i="9"/>
  <c r="H93" i="9" s="1"/>
  <c r="H92" i="9"/>
  <c r="I94" i="9"/>
  <c r="J94" i="9"/>
  <c r="J93" i="9" s="1"/>
  <c r="J92" i="9" s="1"/>
  <c r="F107" i="9"/>
  <c r="G107" i="9"/>
  <c r="H107" i="9"/>
  <c r="I107" i="9"/>
  <c r="I93" i="9"/>
  <c r="I92" i="9" s="1"/>
  <c r="J107" i="9"/>
  <c r="G112" i="9"/>
  <c r="H112" i="9"/>
  <c r="I112" i="9"/>
  <c r="J112" i="9"/>
  <c r="F117" i="9"/>
  <c r="F112" i="9" s="1"/>
  <c r="H118" i="9"/>
  <c r="F134" i="9"/>
  <c r="F133" i="9" s="1"/>
  <c r="F132" i="9"/>
  <c r="F118" i="9" s="1"/>
  <c r="F118" i="7" s="1"/>
  <c r="G134" i="9"/>
  <c r="G133" i="9" s="1"/>
  <c r="G132" i="9" s="1"/>
  <c r="G118" i="9" s="1"/>
  <c r="H134" i="9"/>
  <c r="H133" i="9"/>
  <c r="H132" i="9" s="1"/>
  <c r="I134" i="9"/>
  <c r="I133" i="9" s="1"/>
  <c r="I132" i="9" s="1"/>
  <c r="I118" i="9" s="1"/>
  <c r="J134" i="9"/>
  <c r="J133" i="9" s="1"/>
  <c r="J132" i="9" s="1"/>
  <c r="J118" i="9" s="1"/>
  <c r="J118" i="7" s="1"/>
  <c r="D15" i="14"/>
  <c r="F16" i="14"/>
  <c r="F16" i="12"/>
  <c r="F17" i="14"/>
  <c r="F18" i="14"/>
  <c r="F18" i="12" s="1"/>
  <c r="F19" i="14"/>
  <c r="F19" i="12"/>
  <c r="F20" i="14"/>
  <c r="F20" i="12" s="1"/>
  <c r="F21" i="14"/>
  <c r="F22" i="14"/>
  <c r="D23" i="14"/>
  <c r="E23" i="14"/>
  <c r="G23" i="14"/>
  <c r="G23" i="12" s="1"/>
  <c r="H23" i="14"/>
  <c r="I23" i="14"/>
  <c r="I23" i="12"/>
  <c r="J23" i="14"/>
  <c r="F24" i="14"/>
  <c r="F23" i="14" s="1"/>
  <c r="D26" i="14"/>
  <c r="D26" i="12" s="1"/>
  <c r="E26" i="14"/>
  <c r="E14" i="14" s="1"/>
  <c r="G26" i="14"/>
  <c r="H26" i="14"/>
  <c r="H26" i="12" s="1"/>
  <c r="I26" i="14"/>
  <c r="J26" i="14"/>
  <c r="F27" i="14"/>
  <c r="F28" i="14"/>
  <c r="F29" i="14"/>
  <c r="F29" i="12" s="1"/>
  <c r="F30" i="14"/>
  <c r="F31" i="14"/>
  <c r="F31" i="12" s="1"/>
  <c r="F32" i="14"/>
  <c r="F32" i="12" s="1"/>
  <c r="F33" i="14"/>
  <c r="D36" i="14"/>
  <c r="E36" i="14"/>
  <c r="E36" i="12" s="1"/>
  <c r="G36" i="14"/>
  <c r="H36" i="14"/>
  <c r="I36" i="14"/>
  <c r="J36" i="14"/>
  <c r="F37" i="14"/>
  <c r="F36" i="14"/>
  <c r="D40" i="14"/>
  <c r="D40" i="12" s="1"/>
  <c r="E40" i="14"/>
  <c r="E40" i="12"/>
  <c r="G40" i="14"/>
  <c r="H40" i="14"/>
  <c r="I40" i="14"/>
  <c r="J40" i="14"/>
  <c r="F41" i="14"/>
  <c r="F40" i="14" s="1"/>
  <c r="F43" i="14"/>
  <c r="F45" i="14"/>
  <c r="F45" i="12" s="1"/>
  <c r="F45" i="15" s="1"/>
  <c r="F46" i="14"/>
  <c r="E47" i="14"/>
  <c r="E47" i="12" s="1"/>
  <c r="G47" i="14"/>
  <c r="H47" i="14"/>
  <c r="I47" i="14"/>
  <c r="I47" i="12" s="1"/>
  <c r="J47" i="14"/>
  <c r="F48" i="14"/>
  <c r="F47" i="14" s="1"/>
  <c r="D50" i="14"/>
  <c r="D50" i="12"/>
  <c r="E50" i="14"/>
  <c r="E50" i="12" s="1"/>
  <c r="G50" i="14"/>
  <c r="G50" i="12"/>
  <c r="H50" i="14"/>
  <c r="H50" i="12" s="1"/>
  <c r="H50" i="15" s="1"/>
  <c r="I50" i="14"/>
  <c r="J50" i="14"/>
  <c r="F51" i="14"/>
  <c r="F50" i="14" s="1"/>
  <c r="D53" i="14"/>
  <c r="D53" i="12" s="1"/>
  <c r="E53" i="14"/>
  <c r="E53" i="12" s="1"/>
  <c r="G53" i="14"/>
  <c r="G53" i="12"/>
  <c r="H53" i="14"/>
  <c r="I53" i="14"/>
  <c r="J53" i="14"/>
  <c r="J53" i="12"/>
  <c r="F54" i="14"/>
  <c r="F54" i="12"/>
  <c r="F55" i="14"/>
  <c r="F56" i="14"/>
  <c r="F53" i="14" s="1"/>
  <c r="F53" i="12" s="1"/>
  <c r="D59" i="14"/>
  <c r="E59" i="14"/>
  <c r="G59" i="14"/>
  <c r="H59" i="14"/>
  <c r="H59" i="12" s="1"/>
  <c r="H59" i="15" s="1"/>
  <c r="I59" i="14"/>
  <c r="I59" i="12" s="1"/>
  <c r="J59" i="14"/>
  <c r="J59" i="12"/>
  <c r="F60" i="14"/>
  <c r="F61" i="14"/>
  <c r="F62" i="14"/>
  <c r="F62" i="12"/>
  <c r="F63" i="14"/>
  <c r="D64" i="14"/>
  <c r="D64" i="12" s="1"/>
  <c r="E64" i="14"/>
  <c r="E64" i="12"/>
  <c r="G64" i="14"/>
  <c r="G64" i="12" s="1"/>
  <c r="H64" i="14"/>
  <c r="I64" i="14"/>
  <c r="I64" i="12"/>
  <c r="J64" i="14"/>
  <c r="J64" i="12"/>
  <c r="F65" i="14"/>
  <c r="F66" i="14"/>
  <c r="F66" i="12" s="1"/>
  <c r="F67" i="14"/>
  <c r="F68" i="14"/>
  <c r="F68" i="12" s="1"/>
  <c r="F69" i="14"/>
  <c r="G69" i="14"/>
  <c r="H69" i="14"/>
  <c r="H69" i="12" s="1"/>
  <c r="I69" i="14"/>
  <c r="J69" i="14"/>
  <c r="F77" i="14"/>
  <c r="F77" i="12"/>
  <c r="D76" i="14"/>
  <c r="G78" i="14"/>
  <c r="G76" i="14" s="1"/>
  <c r="H78" i="14"/>
  <c r="H76" i="14" s="1"/>
  <c r="I78" i="14"/>
  <c r="I76" i="14"/>
  <c r="J78" i="14"/>
  <c r="J76" i="14" s="1"/>
  <c r="F86" i="14"/>
  <c r="F86" i="12" s="1"/>
  <c r="F94" i="14"/>
  <c r="F93" i="14" s="1"/>
  <c r="F92" i="14" s="1"/>
  <c r="G94" i="14"/>
  <c r="H94" i="14"/>
  <c r="I94" i="14"/>
  <c r="J94" i="14"/>
  <c r="F107" i="14"/>
  <c r="G107" i="14"/>
  <c r="H107" i="14"/>
  <c r="H107" i="12"/>
  <c r="I107" i="14"/>
  <c r="I93" i="14"/>
  <c r="J107" i="14"/>
  <c r="J107" i="12"/>
  <c r="G112" i="14"/>
  <c r="I112" i="14"/>
  <c r="J112" i="14"/>
  <c r="F117" i="14"/>
  <c r="F112" i="14" s="1"/>
  <c r="H117" i="14"/>
  <c r="H112" i="14"/>
  <c r="D123" i="14"/>
  <c r="E123" i="14"/>
  <c r="E122" i="14" s="1"/>
  <c r="E122" i="12" s="1"/>
  <c r="D125" i="14"/>
  <c r="D125" i="12" s="1"/>
  <c r="F134" i="14"/>
  <c r="F133" i="14" s="1"/>
  <c r="F132" i="14" s="1"/>
  <c r="F118" i="14" s="1"/>
  <c r="G134" i="14"/>
  <c r="G134" i="12" s="1"/>
  <c r="H134" i="14"/>
  <c r="I134" i="14"/>
  <c r="I133" i="14"/>
  <c r="I132" i="14" s="1"/>
  <c r="I118" i="14" s="1"/>
  <c r="J134" i="14"/>
  <c r="A12" i="20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D15" i="20"/>
  <c r="D14" i="20" s="1"/>
  <c r="D13" i="20" s="1"/>
  <c r="D12" i="20" s="1"/>
  <c r="D11" i="20" s="1"/>
  <c r="E15" i="20"/>
  <c r="G15" i="20"/>
  <c r="H15" i="20"/>
  <c r="I15" i="20"/>
  <c r="I14" i="20"/>
  <c r="J15" i="20"/>
  <c r="J14" i="20" s="1"/>
  <c r="J13" i="20" s="1"/>
  <c r="J12" i="20" s="1"/>
  <c r="J11" i="20" s="1"/>
  <c r="F16" i="20"/>
  <c r="F17" i="20"/>
  <c r="F18" i="20"/>
  <c r="F20" i="20"/>
  <c r="F21" i="20"/>
  <c r="F22" i="20"/>
  <c r="D24" i="20"/>
  <c r="E24" i="20"/>
  <c r="G24" i="20"/>
  <c r="F24" i="20" s="1"/>
  <c r="F14" i="20" s="1"/>
  <c r="H24" i="20"/>
  <c r="I24" i="20"/>
  <c r="J24" i="20"/>
  <c r="F25" i="20"/>
  <c r="D26" i="20"/>
  <c r="E26" i="20"/>
  <c r="G26" i="20"/>
  <c r="H26" i="20"/>
  <c r="I26" i="20"/>
  <c r="J26" i="20"/>
  <c r="F27" i="20"/>
  <c r="D29" i="20"/>
  <c r="G29" i="20"/>
  <c r="H29" i="20"/>
  <c r="I29" i="20"/>
  <c r="J29" i="20"/>
  <c r="F32" i="20"/>
  <c r="F33" i="16" s="1"/>
  <c r="F33" i="20"/>
  <c r="F34" i="16" s="1"/>
  <c r="F34" i="20"/>
  <c r="F35" i="16"/>
  <c r="F35" i="20"/>
  <c r="F36" i="16" s="1"/>
  <c r="F36" i="20"/>
  <c r="F37" i="16" s="1"/>
  <c r="F37" i="20"/>
  <c r="F38" i="16" s="1"/>
  <c r="F38" i="20"/>
  <c r="F39" i="16"/>
  <c r="D41" i="20"/>
  <c r="D28" i="20"/>
  <c r="G41" i="20"/>
  <c r="F41" i="20" s="1"/>
  <c r="F42" i="16" s="1"/>
  <c r="H41" i="20"/>
  <c r="I41" i="20"/>
  <c r="J41" i="20"/>
  <c r="F42" i="20"/>
  <c r="F43" i="20"/>
  <c r="F44" i="20"/>
  <c r="G45" i="20"/>
  <c r="H45" i="20"/>
  <c r="I45" i="20"/>
  <c r="J45" i="20"/>
  <c r="F46" i="20"/>
  <c r="F47" i="16" s="1"/>
  <c r="F47" i="20"/>
  <c r="F48" i="16" s="1"/>
  <c r="F48" i="20"/>
  <c r="G56" i="20"/>
  <c r="H56" i="20"/>
  <c r="I56" i="20"/>
  <c r="J56" i="20"/>
  <c r="F57" i="20"/>
  <c r="A13" i="16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12" i="17"/>
  <c r="A13" i="17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12" i="18"/>
  <c r="A13" i="18"/>
  <c r="A14" i="18"/>
  <c r="A15" i="18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D15" i="18"/>
  <c r="D15" i="17"/>
  <c r="E15" i="18"/>
  <c r="E16" i="16"/>
  <c r="G15" i="18"/>
  <c r="H15" i="18"/>
  <c r="H14" i="18"/>
  <c r="I15" i="18"/>
  <c r="I15" i="17"/>
  <c r="J15" i="18"/>
  <c r="F16" i="18"/>
  <c r="F16" i="17" s="1"/>
  <c r="F17" i="18"/>
  <c r="F18" i="16"/>
  <c r="F18" i="18"/>
  <c r="F19" i="16" s="1"/>
  <c r="F20" i="18"/>
  <c r="F21" i="18"/>
  <c r="F22" i="18"/>
  <c r="F23" i="16" s="1"/>
  <c r="F23" i="18"/>
  <c r="D24" i="18"/>
  <c r="D24" i="17" s="1"/>
  <c r="E24" i="18"/>
  <c r="E24" i="17"/>
  <c r="G24" i="18"/>
  <c r="I24" i="18"/>
  <c r="J24" i="18"/>
  <c r="F25" i="18"/>
  <c r="F25" i="17"/>
  <c r="D26" i="18"/>
  <c r="D26" i="17"/>
  <c r="E26" i="18"/>
  <c r="E26" i="17"/>
  <c r="G26" i="18"/>
  <c r="G27" i="16"/>
  <c r="H26" i="18"/>
  <c r="H26" i="17" s="1"/>
  <c r="I26" i="18"/>
  <c r="I27" i="16" s="1"/>
  <c r="J26" i="18"/>
  <c r="J27" i="16"/>
  <c r="F27" i="18"/>
  <c r="F28" i="16" s="1"/>
  <c r="D29" i="18"/>
  <c r="D29" i="17" s="1"/>
  <c r="E29" i="18"/>
  <c r="E29" i="17" s="1"/>
  <c r="G29" i="18"/>
  <c r="G29" i="17" s="1"/>
  <c r="H29" i="18"/>
  <c r="H30" i="16" s="1"/>
  <c r="I29" i="18"/>
  <c r="I30" i="16" s="1"/>
  <c r="J29" i="18"/>
  <c r="D41" i="18"/>
  <c r="E41" i="18"/>
  <c r="G41" i="18"/>
  <c r="G42" i="16"/>
  <c r="H41" i="18"/>
  <c r="H41" i="17" s="1"/>
  <c r="I41" i="18"/>
  <c r="I41" i="17" s="1"/>
  <c r="J41" i="18"/>
  <c r="F42" i="18"/>
  <c r="F43" i="16" s="1"/>
  <c r="F43" i="18"/>
  <c r="F44" i="16"/>
  <c r="F44" i="18"/>
  <c r="F45" i="16" s="1"/>
  <c r="G45" i="18"/>
  <c r="G46" i="16" s="1"/>
  <c r="G45" i="17"/>
  <c r="H45" i="18"/>
  <c r="H45" i="17" s="1"/>
  <c r="I45" i="18"/>
  <c r="I46" i="16" s="1"/>
  <c r="J45" i="18"/>
  <c r="J45" i="17" s="1"/>
  <c r="F48" i="18"/>
  <c r="F48" i="17" s="1"/>
  <c r="G56" i="18"/>
  <c r="H56" i="18"/>
  <c r="H56" i="17" s="1"/>
  <c r="I56" i="18"/>
  <c r="J56" i="18"/>
  <c r="J56" i="17" s="1"/>
  <c r="F57" i="18"/>
  <c r="F57" i="17" s="1"/>
  <c r="D15" i="5"/>
  <c r="D15" i="3"/>
  <c r="E15" i="5"/>
  <c r="G15" i="5"/>
  <c r="H15" i="5"/>
  <c r="I15" i="5"/>
  <c r="J15" i="5"/>
  <c r="F16" i="5"/>
  <c r="F15" i="5" s="1"/>
  <c r="F16" i="3"/>
  <c r="F17" i="5"/>
  <c r="F18" i="5"/>
  <c r="F18" i="3"/>
  <c r="F19" i="5"/>
  <c r="F20" i="5"/>
  <c r="F20" i="3"/>
  <c r="F20" i="15" s="1"/>
  <c r="F21" i="5"/>
  <c r="D23" i="5"/>
  <c r="E23" i="5"/>
  <c r="G23" i="5"/>
  <c r="H23" i="5"/>
  <c r="H23" i="3" s="1"/>
  <c r="I23" i="5"/>
  <c r="J23" i="5"/>
  <c r="F24" i="5"/>
  <c r="F23" i="5" s="1"/>
  <c r="F23" i="3" s="1"/>
  <c r="D26" i="5"/>
  <c r="D26" i="3"/>
  <c r="E26" i="5"/>
  <c r="E26" i="3" s="1"/>
  <c r="G26" i="5"/>
  <c r="G26" i="3"/>
  <c r="H26" i="5"/>
  <c r="I26" i="5"/>
  <c r="I26" i="3" s="1"/>
  <c r="J26" i="5"/>
  <c r="J14" i="5"/>
  <c r="F27" i="5"/>
  <c r="F28" i="5"/>
  <c r="F29" i="5"/>
  <c r="F30" i="5"/>
  <c r="F30" i="3" s="1"/>
  <c r="F30" i="15" s="1"/>
  <c r="F31" i="5"/>
  <c r="F31" i="3" s="1"/>
  <c r="F32" i="5"/>
  <c r="D36" i="5"/>
  <c r="E36" i="5"/>
  <c r="E36" i="3" s="1"/>
  <c r="G36" i="5"/>
  <c r="G35" i="5" s="1"/>
  <c r="H36" i="5"/>
  <c r="I36" i="5"/>
  <c r="I35" i="5" s="1"/>
  <c r="J36" i="5"/>
  <c r="F37" i="5"/>
  <c r="F36" i="5"/>
  <c r="D40" i="5"/>
  <c r="D40" i="3" s="1"/>
  <c r="E40" i="5"/>
  <c r="E40" i="3"/>
  <c r="G40" i="5"/>
  <c r="H40" i="5"/>
  <c r="I40" i="5"/>
  <c r="I40" i="3"/>
  <c r="J40" i="5"/>
  <c r="F41" i="5"/>
  <c r="F41" i="3"/>
  <c r="F43" i="5"/>
  <c r="F44" i="5"/>
  <c r="F44" i="3"/>
  <c r="D47" i="5"/>
  <c r="E47" i="5"/>
  <c r="E47" i="3" s="1"/>
  <c r="G47" i="5"/>
  <c r="H47" i="5"/>
  <c r="H47" i="3"/>
  <c r="I47" i="5"/>
  <c r="J47" i="5"/>
  <c r="J47" i="3"/>
  <c r="F48" i="5"/>
  <c r="F47" i="5"/>
  <c r="D50" i="5"/>
  <c r="D50" i="3"/>
  <c r="E50" i="5"/>
  <c r="E50" i="3"/>
  <c r="G50" i="5"/>
  <c r="H50" i="5"/>
  <c r="I50" i="5"/>
  <c r="J50" i="5"/>
  <c r="F51" i="5"/>
  <c r="F50" i="5"/>
  <c r="D53" i="5"/>
  <c r="E53" i="5"/>
  <c r="G53" i="5"/>
  <c r="H53" i="5"/>
  <c r="H53" i="3" s="1"/>
  <c r="H53" i="15" s="1"/>
  <c r="I53" i="5"/>
  <c r="J53" i="5"/>
  <c r="J53" i="3" s="1"/>
  <c r="F54" i="5"/>
  <c r="F53" i="5" s="1"/>
  <c r="F35" i="5" s="1"/>
  <c r="F55" i="5"/>
  <c r="F58" i="5"/>
  <c r="F58" i="3"/>
  <c r="D59" i="5"/>
  <c r="E59" i="5"/>
  <c r="H59" i="5"/>
  <c r="F60" i="5"/>
  <c r="F60" i="3"/>
  <c r="F61" i="5"/>
  <c r="F62" i="5"/>
  <c r="F62" i="3"/>
  <c r="F63" i="5"/>
  <c r="F63" i="3" s="1"/>
  <c r="D64" i="5"/>
  <c r="G64" i="5"/>
  <c r="H64" i="5"/>
  <c r="H64" i="3" s="1"/>
  <c r="I64" i="5"/>
  <c r="J64" i="5"/>
  <c r="J64" i="3"/>
  <c r="F65" i="5"/>
  <c r="F65" i="3" s="1"/>
  <c r="F66" i="5"/>
  <c r="F66" i="3" s="1"/>
  <c r="F67" i="5"/>
  <c r="F68" i="5"/>
  <c r="F68" i="3"/>
  <c r="F69" i="5"/>
  <c r="G69" i="5"/>
  <c r="H69" i="5"/>
  <c r="I69" i="5"/>
  <c r="J69" i="5"/>
  <c r="F72" i="5"/>
  <c r="H72" i="5"/>
  <c r="F77" i="5"/>
  <c r="F81" i="5"/>
  <c r="F81" i="3"/>
  <c r="F82" i="5"/>
  <c r="F82" i="3"/>
  <c r="F83" i="5"/>
  <c r="F84" i="5"/>
  <c r="F85" i="5"/>
  <c r="D93" i="5"/>
  <c r="D92" i="5" s="1"/>
  <c r="D92" i="3" s="1"/>
  <c r="E94" i="5"/>
  <c r="G94" i="5"/>
  <c r="G94" i="3"/>
  <c r="H94" i="5"/>
  <c r="I94" i="5"/>
  <c r="I94" i="3" s="1"/>
  <c r="J94" i="5"/>
  <c r="J93" i="5" s="1"/>
  <c r="F102" i="5"/>
  <c r="F107" i="5"/>
  <c r="F107" i="3" s="1"/>
  <c r="G107" i="5"/>
  <c r="G107" i="3"/>
  <c r="H107" i="5"/>
  <c r="H107" i="3"/>
  <c r="I107" i="5"/>
  <c r="J107" i="5"/>
  <c r="G112" i="5"/>
  <c r="G112" i="3"/>
  <c r="H112" i="5"/>
  <c r="I112" i="5"/>
  <c r="I112" i="3" s="1"/>
  <c r="I112" i="15" s="1"/>
  <c r="J112" i="5"/>
  <c r="J112" i="3" s="1"/>
  <c r="F117" i="5"/>
  <c r="F112" i="5" s="1"/>
  <c r="F112" i="3" s="1"/>
  <c r="F134" i="5"/>
  <c r="F133" i="5" s="1"/>
  <c r="G134" i="5"/>
  <c r="H134" i="5"/>
  <c r="H133" i="5" s="1"/>
  <c r="I134" i="5"/>
  <c r="I133" i="5" s="1"/>
  <c r="J134" i="5"/>
  <c r="J133" i="5" s="1"/>
  <c r="G14" i="20"/>
  <c r="E35" i="9"/>
  <c r="E34" i="9"/>
  <c r="F26" i="9"/>
  <c r="F50" i="13"/>
  <c r="J14" i="9"/>
  <c r="F15" i="9"/>
  <c r="F29" i="19"/>
  <c r="F117" i="13"/>
  <c r="F117" i="12"/>
  <c r="G59" i="13"/>
  <c r="G59" i="12"/>
  <c r="F61" i="13"/>
  <c r="F61" i="12" s="1"/>
  <c r="F78" i="14"/>
  <c r="D14" i="9"/>
  <c r="H23" i="9"/>
  <c r="I34" i="11"/>
  <c r="H35" i="11"/>
  <c r="H34" i="11"/>
  <c r="F21" i="7"/>
  <c r="F17" i="7"/>
  <c r="H72" i="3"/>
  <c r="H69" i="3"/>
  <c r="F50" i="4"/>
  <c r="F29" i="3"/>
  <c r="F29" i="15" s="1"/>
  <c r="J24" i="3"/>
  <c r="H112" i="13"/>
  <c r="H112" i="12" s="1"/>
  <c r="F70" i="13"/>
  <c r="I34" i="10"/>
  <c r="G34" i="10"/>
  <c r="H35" i="10"/>
  <c r="H34" i="10"/>
  <c r="F64" i="9"/>
  <c r="F47" i="9"/>
  <c r="I14" i="9"/>
  <c r="E14" i="9"/>
  <c r="E13" i="9" s="1"/>
  <c r="E12" i="9" s="1"/>
  <c r="E11" i="9" s="1"/>
  <c r="F41" i="19"/>
  <c r="J134" i="13"/>
  <c r="J134" i="12"/>
  <c r="J69" i="13"/>
  <c r="J69" i="12" s="1"/>
  <c r="H64" i="13"/>
  <c r="H64" i="12" s="1"/>
  <c r="F67" i="13"/>
  <c r="F67" i="12"/>
  <c r="H64" i="7"/>
  <c r="G69" i="7"/>
  <c r="H50" i="7"/>
  <c r="J69" i="3"/>
  <c r="I134" i="13"/>
  <c r="I134" i="12" s="1"/>
  <c r="D47" i="3"/>
  <c r="F40" i="4"/>
  <c r="F27" i="3"/>
  <c r="G23" i="3"/>
  <c r="H134" i="13"/>
  <c r="H133" i="13"/>
  <c r="E59" i="7"/>
  <c r="J40" i="7"/>
  <c r="G93" i="7"/>
  <c r="G92" i="7"/>
  <c r="I93" i="11"/>
  <c r="I92" i="11" s="1"/>
  <c r="I13" i="11" s="1"/>
  <c r="I12" i="11" s="1"/>
  <c r="I11" i="11" s="1"/>
  <c r="I50" i="7"/>
  <c r="I36" i="7"/>
  <c r="J35" i="11"/>
  <c r="J34" i="11" s="1"/>
  <c r="J13" i="11" s="1"/>
  <c r="J12" i="11" s="1"/>
  <c r="J11" i="11" s="1"/>
  <c r="F35" i="11"/>
  <c r="F34" i="11"/>
  <c r="F13" i="11"/>
  <c r="F12" i="11"/>
  <c r="F11" i="11" s="1"/>
  <c r="G35" i="11"/>
  <c r="G34" i="11"/>
  <c r="G13" i="11" s="1"/>
  <c r="G12" i="11" s="1"/>
  <c r="G11" i="11" s="1"/>
  <c r="H14" i="10"/>
  <c r="F28" i="7"/>
  <c r="G94" i="2"/>
  <c r="H14" i="11"/>
  <c r="H13" i="11"/>
  <c r="H12" i="11" s="1"/>
  <c r="H11" i="11" s="1"/>
  <c r="F35" i="10"/>
  <c r="F34" i="10"/>
  <c r="J23" i="7"/>
  <c r="F54" i="1"/>
  <c r="F53" i="1"/>
  <c r="D69" i="7"/>
  <c r="I26" i="7"/>
  <c r="G93" i="10"/>
  <c r="G92" i="10"/>
  <c r="H69" i="7"/>
  <c r="F50" i="8"/>
  <c r="G36" i="7"/>
  <c r="F129" i="7"/>
  <c r="H111" i="1"/>
  <c r="J94" i="2"/>
  <c r="J93" i="2"/>
  <c r="H23" i="7"/>
  <c r="H14" i="9"/>
  <c r="I93" i="10"/>
  <c r="I92" i="10" s="1"/>
  <c r="I13" i="10" s="1"/>
  <c r="I12" i="10" s="1"/>
  <c r="I11" i="10" s="1"/>
  <c r="G93" i="4"/>
  <c r="G92" i="4"/>
  <c r="F94" i="5"/>
  <c r="F93" i="5"/>
  <c r="F92" i="5" s="1"/>
  <c r="J133" i="14"/>
  <c r="J132" i="14"/>
  <c r="J118" i="14"/>
  <c r="H133" i="14"/>
  <c r="F58" i="19"/>
  <c r="E13" i="19"/>
  <c r="E12" i="19" s="1"/>
  <c r="E11" i="19" s="1"/>
  <c r="D14" i="19"/>
  <c r="I29" i="17"/>
  <c r="F24" i="19"/>
  <c r="H29" i="17"/>
  <c r="F56" i="19"/>
  <c r="F56" i="17"/>
  <c r="F29" i="18"/>
  <c r="F29" i="17"/>
  <c r="H60" i="18"/>
  <c r="H28" i="18"/>
  <c r="H28" i="17"/>
  <c r="F56" i="18"/>
  <c r="J28" i="18"/>
  <c r="J28" i="17" s="1"/>
  <c r="D13" i="19"/>
  <c r="D12" i="19" s="1"/>
  <c r="D11" i="19" s="1"/>
  <c r="F42" i="17"/>
  <c r="F43" i="17"/>
  <c r="G41" i="17"/>
  <c r="F18" i="17"/>
  <c r="I45" i="17"/>
  <c r="I28" i="18"/>
  <c r="I28" i="17"/>
  <c r="F45" i="18"/>
  <c r="F45" i="17"/>
  <c r="F49" i="16"/>
  <c r="F58" i="18"/>
  <c r="F58" i="17"/>
  <c r="F88" i="16"/>
  <c r="F61" i="18"/>
  <c r="F61" i="17"/>
  <c r="F91" i="16"/>
  <c r="G60" i="18"/>
  <c r="G60" i="17" s="1"/>
  <c r="G90" i="16" s="1"/>
  <c r="I14" i="19"/>
  <c r="G14" i="19"/>
  <c r="F26" i="19"/>
  <c r="E14" i="20"/>
  <c r="E27" i="16"/>
  <c r="D27" i="16"/>
  <c r="D25" i="16"/>
  <c r="E26" i="7"/>
  <c r="E93" i="5"/>
  <c r="E92" i="5"/>
  <c r="F60" i="18"/>
  <c r="F60" i="17"/>
  <c r="F90" i="16"/>
  <c r="F59" i="18"/>
  <c r="F59" i="17"/>
  <c r="F89" i="16"/>
  <c r="F22" i="12"/>
  <c r="F26" i="14"/>
  <c r="G40" i="12"/>
  <c r="H47" i="12"/>
  <c r="F40" i="13"/>
  <c r="F41" i="7"/>
  <c r="F59" i="5"/>
  <c r="F40" i="5"/>
  <c r="E41" i="17"/>
  <c r="E15" i="17"/>
  <c r="D36" i="3"/>
  <c r="D113" i="12"/>
  <c r="D113" i="15"/>
  <c r="F38" i="12"/>
  <c r="G133" i="14"/>
  <c r="G132" i="14" s="1"/>
  <c r="G118" i="14" s="1"/>
  <c r="J93" i="14"/>
  <c r="J92" i="14"/>
  <c r="D122" i="14"/>
  <c r="F76" i="14"/>
  <c r="G93" i="14"/>
  <c r="E64" i="8"/>
  <c r="E64" i="22" s="1"/>
  <c r="E65" i="7"/>
  <c r="E66" i="7"/>
  <c r="G92" i="14"/>
  <c r="F51" i="3"/>
  <c r="F37" i="3"/>
  <c r="F47" i="4"/>
  <c r="F47" i="3" s="1"/>
  <c r="G40" i="3"/>
  <c r="G14" i="4"/>
  <c r="F107" i="2"/>
  <c r="F107" i="22" s="1"/>
  <c r="G93" i="2"/>
  <c r="F23" i="2"/>
  <c r="F23" i="22" s="1"/>
  <c r="F44" i="17"/>
  <c r="G28" i="18"/>
  <c r="J26" i="17"/>
  <c r="F71" i="3"/>
  <c r="F71" i="15" s="1"/>
  <c r="G92" i="2"/>
  <c r="G36" i="12"/>
  <c r="G112" i="13"/>
  <c r="G112" i="12"/>
  <c r="J93" i="13"/>
  <c r="F107" i="13"/>
  <c r="D93" i="13"/>
  <c r="D93" i="12"/>
  <c r="J92" i="13"/>
  <c r="F70" i="12"/>
  <c r="F59" i="13"/>
  <c r="J35" i="13"/>
  <c r="J92" i="10"/>
  <c r="H92" i="10"/>
  <c r="H13" i="10" s="1"/>
  <c r="H12" i="10" s="1"/>
  <c r="H11" i="10" s="1"/>
  <c r="F94" i="10"/>
  <c r="G13" i="10"/>
  <c r="G12" i="10" s="1"/>
  <c r="G11" i="10" s="1"/>
  <c r="F54" i="7"/>
  <c r="G35" i="8"/>
  <c r="H14" i="8"/>
  <c r="F67" i="3"/>
  <c r="F48" i="3"/>
  <c r="F40" i="6"/>
  <c r="F93" i="10"/>
  <c r="F92" i="10"/>
  <c r="F13" i="10"/>
  <c r="F12" i="10" s="1"/>
  <c r="F11" i="10" s="1"/>
  <c r="F65" i="12"/>
  <c r="I93" i="6"/>
  <c r="I92" i="6" s="1"/>
  <c r="H14" i="5"/>
  <c r="G15" i="3"/>
  <c r="F15" i="4"/>
  <c r="G92" i="1"/>
  <c r="G91" i="1"/>
  <c r="G91" i="15" s="1"/>
  <c r="H57" i="16"/>
  <c r="F56" i="20"/>
  <c r="F57" i="16" s="1"/>
  <c r="F29" i="20"/>
  <c r="F30" i="16" s="1"/>
  <c r="J28" i="20"/>
  <c r="I28" i="20"/>
  <c r="H28" i="20"/>
  <c r="H29" i="16" s="1"/>
  <c r="H42" i="16"/>
  <c r="F45" i="20"/>
  <c r="H46" i="16"/>
  <c r="E57" i="16"/>
  <c r="E58" i="16"/>
  <c r="F21" i="12"/>
  <c r="I15" i="12"/>
  <c r="G14" i="13"/>
  <c r="G14" i="12" s="1"/>
  <c r="J29" i="16"/>
  <c r="I29" i="16"/>
  <c r="F26" i="8"/>
  <c r="F26" i="7"/>
  <c r="F15" i="8"/>
  <c r="F15" i="7" s="1"/>
  <c r="G14" i="6"/>
  <c r="I15" i="3"/>
  <c r="I13" i="20"/>
  <c r="I12" i="20" s="1"/>
  <c r="I11" i="20" s="1"/>
  <c r="F15" i="20"/>
  <c r="H14" i="20"/>
  <c r="F26" i="20"/>
  <c r="J76" i="13"/>
  <c r="J76" i="12"/>
  <c r="H132" i="14"/>
  <c r="H118" i="14" s="1"/>
  <c r="E123" i="12"/>
  <c r="E123" i="15" s="1"/>
  <c r="F64" i="14"/>
  <c r="G69" i="12"/>
  <c r="I35" i="14"/>
  <c r="I34" i="14" s="1"/>
  <c r="F56" i="12"/>
  <c r="G35" i="14"/>
  <c r="G34" i="14" s="1"/>
  <c r="D35" i="14"/>
  <c r="D34" i="14" s="1"/>
  <c r="J35" i="14"/>
  <c r="J47" i="12"/>
  <c r="H14" i="14"/>
  <c r="G14" i="14"/>
  <c r="F107" i="12"/>
  <c r="J94" i="12"/>
  <c r="I94" i="12"/>
  <c r="I35" i="13"/>
  <c r="I35" i="12"/>
  <c r="F47" i="13"/>
  <c r="F47" i="12" s="1"/>
  <c r="H35" i="8"/>
  <c r="G14" i="8"/>
  <c r="G14" i="7" s="1"/>
  <c r="G15" i="7"/>
  <c r="G93" i="6"/>
  <c r="G92" i="6"/>
  <c r="G69" i="3"/>
  <c r="I64" i="3"/>
  <c r="G64" i="3"/>
  <c r="D59" i="3"/>
  <c r="G35" i="6"/>
  <c r="G34" i="6"/>
  <c r="J50" i="3"/>
  <c r="G47" i="3"/>
  <c r="J36" i="3"/>
  <c r="H36" i="3"/>
  <c r="H93" i="5"/>
  <c r="H92" i="5"/>
  <c r="F77" i="3"/>
  <c r="H35" i="5"/>
  <c r="H34" i="5" s="1"/>
  <c r="H13" i="5" s="1"/>
  <c r="H12" i="5" s="1"/>
  <c r="J35" i="5"/>
  <c r="J34" i="5" s="1"/>
  <c r="I50" i="3"/>
  <c r="I14" i="5"/>
  <c r="G14" i="5"/>
  <c r="F26" i="5"/>
  <c r="E59" i="3"/>
  <c r="G35" i="4"/>
  <c r="I35" i="4"/>
  <c r="I34" i="4"/>
  <c r="H35" i="4"/>
  <c r="F40" i="3"/>
  <c r="G36" i="3"/>
  <c r="F26" i="4"/>
  <c r="F24" i="4"/>
  <c r="F24" i="3"/>
  <c r="I14" i="4"/>
  <c r="H93" i="2"/>
  <c r="F40" i="2"/>
  <c r="F40" i="22" s="1"/>
  <c r="F36" i="2"/>
  <c r="J76" i="4"/>
  <c r="I92" i="14"/>
  <c r="I92" i="12" s="1"/>
  <c r="I93" i="12"/>
  <c r="I69" i="12"/>
  <c r="F63" i="12"/>
  <c r="F55" i="12"/>
  <c r="F46" i="12"/>
  <c r="D23" i="12"/>
  <c r="H78" i="12"/>
  <c r="J92" i="12"/>
  <c r="J93" i="12"/>
  <c r="E26" i="12"/>
  <c r="E26" i="15"/>
  <c r="D122" i="12"/>
  <c r="D123" i="12"/>
  <c r="I107" i="12"/>
  <c r="G107" i="12"/>
  <c r="F60" i="12"/>
  <c r="F41" i="12"/>
  <c r="I40" i="12"/>
  <c r="I36" i="12"/>
  <c r="J23" i="12"/>
  <c r="I14" i="14"/>
  <c r="I13" i="14" s="1"/>
  <c r="I12" i="14" s="1"/>
  <c r="I11" i="14" s="1"/>
  <c r="I53" i="12"/>
  <c r="J50" i="12"/>
  <c r="G47" i="12"/>
  <c r="D47" i="12"/>
  <c r="J40" i="12"/>
  <c r="H40" i="12"/>
  <c r="J36" i="12"/>
  <c r="D36" i="12"/>
  <c r="F33" i="12"/>
  <c r="F30" i="12"/>
  <c r="F27" i="12"/>
  <c r="G26" i="12"/>
  <c r="G26" i="15" s="1"/>
  <c r="H23" i="12"/>
  <c r="D15" i="12"/>
  <c r="J122" i="13"/>
  <c r="J122" i="12" s="1"/>
  <c r="J122" i="15" s="1"/>
  <c r="H123" i="12"/>
  <c r="H122" i="13"/>
  <c r="I112" i="13"/>
  <c r="I112" i="12"/>
  <c r="H94" i="12"/>
  <c r="H93" i="13"/>
  <c r="H36" i="12"/>
  <c r="J123" i="12"/>
  <c r="F94" i="13"/>
  <c r="F93" i="13" s="1"/>
  <c r="F48" i="12"/>
  <c r="F48" i="15" s="1"/>
  <c r="F24" i="12"/>
  <c r="F125" i="13"/>
  <c r="I125" i="12"/>
  <c r="I122" i="13"/>
  <c r="M122" i="13"/>
  <c r="G94" i="12"/>
  <c r="G93" i="13"/>
  <c r="G92" i="13" s="1"/>
  <c r="G92" i="12" s="1"/>
  <c r="F64" i="13"/>
  <c r="F64" i="12" s="1"/>
  <c r="G122" i="13"/>
  <c r="J36" i="7"/>
  <c r="H14" i="7"/>
  <c r="F64" i="8"/>
  <c r="F64" i="7"/>
  <c r="H36" i="7"/>
  <c r="H128" i="7"/>
  <c r="H118" i="8"/>
  <c r="H118" i="7"/>
  <c r="F61" i="3"/>
  <c r="F59" i="6"/>
  <c r="H14" i="6"/>
  <c r="E94" i="3"/>
  <c r="D35" i="6"/>
  <c r="D34" i="6" s="1"/>
  <c r="D13" i="6" s="1"/>
  <c r="D12" i="6" s="1"/>
  <c r="D11" i="6" s="1"/>
  <c r="H35" i="6"/>
  <c r="F50" i="3"/>
  <c r="G50" i="3"/>
  <c r="I47" i="3"/>
  <c r="H40" i="3"/>
  <c r="F17" i="3"/>
  <c r="H15" i="3"/>
  <c r="J59" i="3"/>
  <c r="I107" i="3"/>
  <c r="H50" i="3"/>
  <c r="H112" i="3"/>
  <c r="J107" i="3"/>
  <c r="F85" i="3"/>
  <c r="F21" i="3"/>
  <c r="F21" i="15" s="1"/>
  <c r="F19" i="3"/>
  <c r="I134" i="3"/>
  <c r="I134" i="15" s="1"/>
  <c r="I69" i="3"/>
  <c r="H59" i="3"/>
  <c r="F54" i="3"/>
  <c r="G53" i="3"/>
  <c r="D53" i="3"/>
  <c r="J40" i="3"/>
  <c r="I36" i="3"/>
  <c r="J26" i="3"/>
  <c r="H26" i="3"/>
  <c r="J23" i="3"/>
  <c r="F72" i="3"/>
  <c r="F36" i="3"/>
  <c r="F69" i="4"/>
  <c r="F69" i="3"/>
  <c r="F64" i="4"/>
  <c r="I23" i="4"/>
  <c r="I23" i="3"/>
  <c r="I23" i="15" s="1"/>
  <c r="J14" i="4"/>
  <c r="H14" i="4"/>
  <c r="H14" i="3" s="1"/>
  <c r="F23" i="4"/>
  <c r="H133" i="4"/>
  <c r="F28" i="3"/>
  <c r="H92" i="2"/>
  <c r="F59" i="2"/>
  <c r="F50" i="2"/>
  <c r="F50" i="22" s="1"/>
  <c r="I133" i="2"/>
  <c r="I132" i="2" s="1"/>
  <c r="I118" i="2" s="1"/>
  <c r="I93" i="2"/>
  <c r="F78" i="2"/>
  <c r="G35" i="12"/>
  <c r="J34" i="14"/>
  <c r="G122" i="12"/>
  <c r="G93" i="12"/>
  <c r="I122" i="12"/>
  <c r="I122" i="15" s="1"/>
  <c r="F125" i="12"/>
  <c r="F122" i="13"/>
  <c r="F122" i="12" s="1"/>
  <c r="F94" i="12"/>
  <c r="H92" i="13"/>
  <c r="H122" i="12"/>
  <c r="H122" i="15" s="1"/>
  <c r="F14" i="4"/>
  <c r="I92" i="2"/>
  <c r="F26" i="13"/>
  <c r="F26" i="12"/>
  <c r="F43" i="13"/>
  <c r="F43" i="12" s="1"/>
  <c r="H35" i="13"/>
  <c r="E59" i="12"/>
  <c r="E23" i="12"/>
  <c r="E15" i="12"/>
  <c r="E93" i="13"/>
  <c r="E36" i="7"/>
  <c r="E28" i="18"/>
  <c r="E28" i="17"/>
  <c r="E92" i="13"/>
  <c r="E92" i="12"/>
  <c r="E93" i="12"/>
  <c r="E53" i="3"/>
  <c r="F53" i="2"/>
  <c r="I35" i="2"/>
  <c r="I34" i="2" s="1"/>
  <c r="J35" i="2"/>
  <c r="J35" i="22" s="1"/>
  <c r="E34" i="2"/>
  <c r="H35" i="2"/>
  <c r="H35" i="22" s="1"/>
  <c r="H35" i="15" s="1"/>
  <c r="H34" i="2"/>
  <c r="H13" i="2" s="1"/>
  <c r="H12" i="2" s="1"/>
  <c r="H11" i="2" s="1"/>
  <c r="G35" i="2"/>
  <c r="G35" i="22" s="1"/>
  <c r="G34" i="2"/>
  <c r="D78" i="7"/>
  <c r="F117" i="22"/>
  <c r="F47" i="7"/>
  <c r="J47" i="7"/>
  <c r="J35" i="8"/>
  <c r="F47" i="22"/>
  <c r="J47" i="22"/>
  <c r="J47" i="15" s="1"/>
  <c r="I47" i="7"/>
  <c r="I35" i="8"/>
  <c r="I35" i="7"/>
  <c r="F66" i="1"/>
  <c r="F64" i="1" s="1"/>
  <c r="F47" i="1"/>
  <c r="I92" i="1"/>
  <c r="I91" i="1" s="1"/>
  <c r="I91" i="15" s="1"/>
  <c r="F36" i="1"/>
  <c r="E14" i="2"/>
  <c r="F26" i="1"/>
  <c r="H106" i="15"/>
  <c r="H14" i="1"/>
  <c r="J14" i="1"/>
  <c r="I76" i="1"/>
  <c r="I35" i="1"/>
  <c r="F23" i="1"/>
  <c r="F15" i="1"/>
  <c r="H76" i="1"/>
  <c r="F111" i="1"/>
  <c r="F111" i="15" s="1"/>
  <c r="G14" i="1"/>
  <c r="H92" i="1"/>
  <c r="H91" i="1"/>
  <c r="H91" i="15" s="1"/>
  <c r="F67" i="1"/>
  <c r="F116" i="1"/>
  <c r="F116" i="15" s="1"/>
  <c r="I14" i="1"/>
  <c r="H64" i="1"/>
  <c r="G53" i="1"/>
  <c r="F14" i="1"/>
  <c r="G35" i="1"/>
  <c r="G34" i="1" s="1"/>
  <c r="G13" i="1" s="1"/>
  <c r="G12" i="1" s="1"/>
  <c r="H14" i="2"/>
  <c r="H14" i="22" s="1"/>
  <c r="F26" i="2"/>
  <c r="F26" i="22" s="1"/>
  <c r="G14" i="2"/>
  <c r="G14" i="22" s="1"/>
  <c r="I14" i="2"/>
  <c r="J14" i="2"/>
  <c r="G13" i="2"/>
  <c r="G12" i="2" s="1"/>
  <c r="G11" i="2" s="1"/>
  <c r="E86" i="15"/>
  <c r="G78" i="3"/>
  <c r="I78" i="3"/>
  <c r="J78" i="3"/>
  <c r="G76" i="3"/>
  <c r="F78" i="5"/>
  <c r="H78" i="3"/>
  <c r="G76" i="7"/>
  <c r="J135" i="15"/>
  <c r="I117" i="1"/>
  <c r="I131" i="15"/>
  <c r="F106" i="1"/>
  <c r="F106" i="15" s="1"/>
  <c r="F93" i="1"/>
  <c r="F133" i="1"/>
  <c r="F101" i="15"/>
  <c r="F97" i="15"/>
  <c r="G117" i="1"/>
  <c r="H131" i="1"/>
  <c r="F132" i="1"/>
  <c r="I117" i="15"/>
  <c r="F127" i="15"/>
  <c r="F120" i="15"/>
  <c r="J131" i="15"/>
  <c r="F128" i="22"/>
  <c r="F128" i="15"/>
  <c r="F118" i="8"/>
  <c r="F129" i="22"/>
  <c r="F129" i="15" s="1"/>
  <c r="I100" i="15"/>
  <c r="I98" i="15"/>
  <c r="I96" i="15"/>
  <c r="I120" i="15"/>
  <c r="G120" i="15"/>
  <c r="J119" i="15"/>
  <c r="F119" i="15"/>
  <c r="I111" i="15"/>
  <c r="J110" i="15"/>
  <c r="G109" i="15"/>
  <c r="J108" i="15"/>
  <c r="I102" i="15"/>
  <c r="J101" i="15"/>
  <c r="F100" i="15"/>
  <c r="J99" i="15"/>
  <c r="F98" i="15"/>
  <c r="J97" i="15"/>
  <c r="D96" i="15"/>
  <c r="J95" i="15"/>
  <c r="H89" i="15"/>
  <c r="J93" i="8"/>
  <c r="J92" i="8"/>
  <c r="D78" i="22"/>
  <c r="H93" i="8"/>
  <c r="H92" i="8" s="1"/>
  <c r="H92" i="22" s="1"/>
  <c r="G78" i="22"/>
  <c r="G78" i="7"/>
  <c r="J107" i="15"/>
  <c r="J116" i="15"/>
  <c r="H116" i="15"/>
  <c r="J111" i="15"/>
  <c r="H111" i="15"/>
  <c r="I110" i="15"/>
  <c r="J109" i="15"/>
  <c r="H109" i="15"/>
  <c r="I108" i="15"/>
  <c r="I101" i="15"/>
  <c r="E100" i="15"/>
  <c r="I99" i="15"/>
  <c r="E98" i="15"/>
  <c r="I97" i="15"/>
  <c r="G96" i="15"/>
  <c r="I95" i="15"/>
  <c r="E90" i="15"/>
  <c r="H87" i="15"/>
  <c r="H81" i="15"/>
  <c r="H79" i="15"/>
  <c r="H132" i="4"/>
  <c r="H118" i="4"/>
  <c r="J93" i="4"/>
  <c r="J92" i="4"/>
  <c r="H93" i="4"/>
  <c r="H92" i="4"/>
  <c r="F93" i="4"/>
  <c r="F92" i="4"/>
  <c r="F78" i="4"/>
  <c r="F76" i="4"/>
  <c r="J76" i="3"/>
  <c r="H76" i="3"/>
  <c r="J134" i="3"/>
  <c r="J134" i="15" s="1"/>
  <c r="J94" i="3"/>
  <c r="H34" i="4"/>
  <c r="H13" i="4" s="1"/>
  <c r="H12" i="4" s="1"/>
  <c r="F117" i="3"/>
  <c r="F86" i="3"/>
  <c r="F86" i="15" s="1"/>
  <c r="F134" i="3"/>
  <c r="F76" i="5"/>
  <c r="E81" i="15"/>
  <c r="E79" i="15"/>
  <c r="G133" i="5"/>
  <c r="G134" i="3"/>
  <c r="G134" i="15" s="1"/>
  <c r="G93" i="5"/>
  <c r="G93" i="3" s="1"/>
  <c r="H94" i="3"/>
  <c r="H94" i="15" s="1"/>
  <c r="F81" i="15"/>
  <c r="I76" i="3"/>
  <c r="F84" i="3"/>
  <c r="I90" i="15"/>
  <c r="I88" i="15"/>
  <c r="F94" i="3"/>
  <c r="F93" i="6"/>
  <c r="F92" i="6" s="1"/>
  <c r="J92" i="6"/>
  <c r="E92" i="6"/>
  <c r="E92" i="3"/>
  <c r="E93" i="3"/>
  <c r="E76" i="6"/>
  <c r="J86" i="15"/>
  <c r="H86" i="15"/>
  <c r="H84" i="15"/>
  <c r="J82" i="15"/>
  <c r="J80" i="15"/>
  <c r="F102" i="3"/>
  <c r="F78" i="6"/>
  <c r="F76" i="6" s="1"/>
  <c r="F76" i="3" s="1"/>
  <c r="D93" i="3"/>
  <c r="H93" i="6"/>
  <c r="H92" i="6" s="1"/>
  <c r="H92" i="3" s="1"/>
  <c r="J90" i="15"/>
  <c r="H90" i="15"/>
  <c r="D90" i="15"/>
  <c r="I89" i="15"/>
  <c r="G89" i="15"/>
  <c r="J88" i="15"/>
  <c r="H88" i="15"/>
  <c r="F88" i="15"/>
  <c r="D88" i="15"/>
  <c r="I86" i="15"/>
  <c r="G86" i="15"/>
  <c r="D86" i="15"/>
  <c r="I85" i="15"/>
  <c r="G85" i="15"/>
  <c r="I84" i="15"/>
  <c r="G84" i="15"/>
  <c r="D84" i="15"/>
  <c r="D83" i="15"/>
  <c r="G82" i="15"/>
  <c r="D82" i="15"/>
  <c r="G81" i="15"/>
  <c r="I80" i="15"/>
  <c r="G80" i="15"/>
  <c r="D80" i="15"/>
  <c r="E76" i="13"/>
  <c r="E76" i="12" s="1"/>
  <c r="E78" i="12"/>
  <c r="G26" i="17"/>
  <c r="H25" i="16"/>
  <c r="H24" i="17"/>
  <c r="H131" i="15"/>
  <c r="H117" i="1"/>
  <c r="F117" i="1" s="1"/>
  <c r="F117" i="15" s="1"/>
  <c r="G117" i="15"/>
  <c r="F131" i="1"/>
  <c r="F131" i="15" s="1"/>
  <c r="F118" i="22"/>
  <c r="H93" i="22"/>
  <c r="G92" i="5"/>
  <c r="G92" i="3" s="1"/>
  <c r="G132" i="5"/>
  <c r="G133" i="3"/>
  <c r="F78" i="3"/>
  <c r="G118" i="5"/>
  <c r="G118" i="3" s="1"/>
  <c r="G132" i="3"/>
  <c r="I53" i="22"/>
  <c r="F53" i="6"/>
  <c r="F35" i="6" s="1"/>
  <c r="F34" i="6" s="1"/>
  <c r="J54" i="15"/>
  <c r="G34" i="4"/>
  <c r="G13" i="4" s="1"/>
  <c r="G12" i="4" s="1"/>
  <c r="J35" i="12"/>
  <c r="F53" i="13"/>
  <c r="F82" i="12"/>
  <c r="F59" i="14"/>
  <c r="F59" i="12" s="1"/>
  <c r="H62" i="15"/>
  <c r="H61" i="15"/>
  <c r="H53" i="12"/>
  <c r="F51" i="12"/>
  <c r="H51" i="15"/>
  <c r="H35" i="14"/>
  <c r="H34" i="14" s="1"/>
  <c r="F36" i="12"/>
  <c r="F37" i="12"/>
  <c r="F37" i="15"/>
  <c r="G36" i="15"/>
  <c r="G37" i="15"/>
  <c r="I53" i="3"/>
  <c r="I53" i="15"/>
  <c r="F55" i="3"/>
  <c r="F55" i="15"/>
  <c r="G55" i="15"/>
  <c r="H55" i="15"/>
  <c r="H35" i="3"/>
  <c r="F53" i="4"/>
  <c r="F53" i="3" s="1"/>
  <c r="F62" i="22"/>
  <c r="F62" i="15"/>
  <c r="H59" i="22"/>
  <c r="H53" i="22"/>
  <c r="F53" i="8"/>
  <c r="F51" i="22"/>
  <c r="F51" i="15" s="1"/>
  <c r="G50" i="22"/>
  <c r="G50" i="15"/>
  <c r="F50" i="7"/>
  <c r="F40" i="7"/>
  <c r="F36" i="8"/>
  <c r="F36" i="7" s="1"/>
  <c r="F59" i="1"/>
  <c r="H35" i="1"/>
  <c r="H34" i="1"/>
  <c r="H13" i="1" s="1"/>
  <c r="H12" i="1" s="1"/>
  <c r="H11" i="1" s="1"/>
  <c r="F40" i="1"/>
  <c r="G78" i="12"/>
  <c r="G78" i="15"/>
  <c r="G34" i="13"/>
  <c r="G34" i="12"/>
  <c r="I78" i="12"/>
  <c r="I78" i="15"/>
  <c r="I79" i="15"/>
  <c r="F69" i="13"/>
  <c r="F69" i="12"/>
  <c r="I69" i="15"/>
  <c r="J34" i="13"/>
  <c r="J34" i="12" s="1"/>
  <c r="J44" i="15"/>
  <c r="F35" i="13"/>
  <c r="H43" i="15"/>
  <c r="I44" i="15"/>
  <c r="G13" i="6"/>
  <c r="F43" i="3"/>
  <c r="J35" i="3"/>
  <c r="J43" i="15"/>
  <c r="I76" i="22"/>
  <c r="I76" i="7"/>
  <c r="I78" i="22"/>
  <c r="I34" i="8"/>
  <c r="I34" i="7" s="1"/>
  <c r="I78" i="7"/>
  <c r="F44" i="22"/>
  <c r="F44" i="15" s="1"/>
  <c r="F35" i="1"/>
  <c r="I34" i="1"/>
  <c r="I13" i="1"/>
  <c r="H35" i="12"/>
  <c r="F35" i="4"/>
  <c r="F53" i="22"/>
  <c r="F53" i="15" s="1"/>
  <c r="G12" i="6"/>
  <c r="G11" i="1"/>
  <c r="G11" i="6"/>
  <c r="J112" i="13"/>
  <c r="J112" i="12"/>
  <c r="F113" i="13"/>
  <c r="F112" i="13" s="1"/>
  <c r="F112" i="12"/>
  <c r="F113" i="12"/>
  <c r="F113" i="15" s="1"/>
  <c r="H76" i="12"/>
  <c r="H34" i="13"/>
  <c r="F93" i="2"/>
  <c r="J92" i="2"/>
  <c r="J92" i="22" s="1"/>
  <c r="J94" i="22"/>
  <c r="J94" i="15" s="1"/>
  <c r="F94" i="2"/>
  <c r="F94" i="22" s="1"/>
  <c r="F94" i="15" s="1"/>
  <c r="F92" i="2"/>
  <c r="F46" i="16"/>
  <c r="F28" i="18"/>
  <c r="F41" i="18"/>
  <c r="F26" i="18"/>
  <c r="H13" i="18"/>
  <c r="H12" i="18"/>
  <c r="J15" i="17"/>
  <c r="G15" i="17"/>
  <c r="F17" i="16"/>
  <c r="G16" i="16"/>
  <c r="F41" i="17"/>
  <c r="H16" i="16"/>
  <c r="I13" i="19"/>
  <c r="I12" i="19"/>
  <c r="I11" i="19" s="1"/>
  <c r="F15" i="19"/>
  <c r="F14" i="19"/>
  <c r="J13" i="19"/>
  <c r="J16" i="16"/>
  <c r="H15" i="17"/>
  <c r="I26" i="17"/>
  <c r="H14" i="17"/>
  <c r="H15" i="16"/>
  <c r="J12" i="19"/>
  <c r="J11" i="19"/>
  <c r="H34" i="6"/>
  <c r="H13" i="6" s="1"/>
  <c r="H12" i="6" s="1"/>
  <c r="H11" i="6" s="1"/>
  <c r="H34" i="3"/>
  <c r="H13" i="3"/>
  <c r="D14" i="18"/>
  <c r="D16" i="16"/>
  <c r="D41" i="17"/>
  <c r="D42" i="16"/>
  <c r="E25" i="16"/>
  <c r="E14" i="18"/>
  <c r="D92" i="13"/>
  <c r="D92" i="12" s="1"/>
  <c r="D107" i="15"/>
  <c r="D78" i="12"/>
  <c r="D59" i="12"/>
  <c r="D35" i="13"/>
  <c r="D34" i="13"/>
  <c r="D34" i="12" s="1"/>
  <c r="D14" i="13"/>
  <c r="E133" i="13"/>
  <c r="E113" i="15"/>
  <c r="E112" i="13"/>
  <c r="E112" i="12"/>
  <c r="E112" i="15" s="1"/>
  <c r="E114" i="15"/>
  <c r="E111" i="15"/>
  <c r="E109" i="15"/>
  <c r="E107" i="15"/>
  <c r="E105" i="15"/>
  <c r="E103" i="15"/>
  <c r="E101" i="15"/>
  <c r="E83" i="15"/>
  <c r="E80" i="15"/>
  <c r="E35" i="13"/>
  <c r="E34" i="13" s="1"/>
  <c r="E41" i="15"/>
  <c r="E18" i="15"/>
  <c r="D18" i="15"/>
  <c r="D14" i="14"/>
  <c r="D54" i="15"/>
  <c r="D13" i="14"/>
  <c r="D61" i="15"/>
  <c r="E64" i="15"/>
  <c r="E35" i="14"/>
  <c r="E94" i="15"/>
  <c r="E34" i="6"/>
  <c r="E13" i="6"/>
  <c r="E12" i="6"/>
  <c r="E11" i="6"/>
  <c r="E16" i="15"/>
  <c r="E61" i="15"/>
  <c r="E50" i="15"/>
  <c r="E51" i="15"/>
  <c r="E35" i="5"/>
  <c r="E34" i="5"/>
  <c r="E24" i="15"/>
  <c r="E23" i="3"/>
  <c r="D78" i="3"/>
  <c r="D79" i="15"/>
  <c r="D58" i="15"/>
  <c r="D35" i="5"/>
  <c r="D34" i="5"/>
  <c r="D13" i="5" s="1"/>
  <c r="D12" i="5" s="1"/>
  <c r="D11" i="5" s="1"/>
  <c r="D23" i="3"/>
  <c r="D14" i="5"/>
  <c r="D16" i="15"/>
  <c r="D21" i="15"/>
  <c r="D24" i="15"/>
  <c r="D32" i="15"/>
  <c r="D37" i="15"/>
  <c r="D41" i="15"/>
  <c r="D44" i="15"/>
  <c r="D48" i="15"/>
  <c r="D34" i="4"/>
  <c r="D13" i="4" s="1"/>
  <c r="D50" i="15"/>
  <c r="D55" i="15"/>
  <c r="D85" i="15"/>
  <c r="E59" i="15"/>
  <c r="E62" i="15"/>
  <c r="E55" i="15"/>
  <c r="E54" i="15"/>
  <c r="E35" i="4"/>
  <c r="E48" i="15"/>
  <c r="E44" i="15"/>
  <c r="E43" i="15"/>
  <c r="E36" i="15"/>
  <c r="E37" i="15"/>
  <c r="E32" i="15"/>
  <c r="E14" i="4"/>
  <c r="E21" i="15"/>
  <c r="E17" i="15"/>
  <c r="E15" i="3"/>
  <c r="I118" i="8"/>
  <c r="I128" i="22"/>
  <c r="I128" i="15"/>
  <c r="G128" i="7"/>
  <c r="G118" i="8"/>
  <c r="G118" i="7"/>
  <c r="G94" i="22"/>
  <c r="G94" i="15" s="1"/>
  <c r="G93" i="8"/>
  <c r="F80" i="22"/>
  <c r="F80" i="15"/>
  <c r="F80" i="7"/>
  <c r="E78" i="22"/>
  <c r="E76" i="8"/>
  <c r="J93" i="22"/>
  <c r="H76" i="8"/>
  <c r="J76" i="22"/>
  <c r="J76" i="15" s="1"/>
  <c r="J34" i="8"/>
  <c r="J78" i="7"/>
  <c r="J78" i="22"/>
  <c r="F93" i="8"/>
  <c r="F92" i="8" s="1"/>
  <c r="F92" i="22" s="1"/>
  <c r="I128" i="7"/>
  <c r="H118" i="22"/>
  <c r="E78" i="7"/>
  <c r="F130" i="7"/>
  <c r="J128" i="22"/>
  <c r="J128" i="15" s="1"/>
  <c r="J128" i="7"/>
  <c r="E128" i="22"/>
  <c r="E128" i="15"/>
  <c r="E128" i="7"/>
  <c r="D128" i="22"/>
  <c r="D128" i="15" s="1"/>
  <c r="D128" i="7"/>
  <c r="F79" i="22"/>
  <c r="F79" i="7"/>
  <c r="F93" i="22"/>
  <c r="H34" i="8"/>
  <c r="I93" i="8"/>
  <c r="G118" i="22"/>
  <c r="F78" i="8"/>
  <c r="H78" i="22"/>
  <c r="H78" i="15" s="1"/>
  <c r="E118" i="8"/>
  <c r="D118" i="8"/>
  <c r="D118" i="22"/>
  <c r="D76" i="8"/>
  <c r="D76" i="7"/>
  <c r="G128" i="22"/>
  <c r="G128" i="15" s="1"/>
  <c r="E53" i="15"/>
  <c r="E35" i="8"/>
  <c r="E35" i="22"/>
  <c r="E50" i="7"/>
  <c r="E47" i="22"/>
  <c r="E47" i="15"/>
  <c r="E40" i="15"/>
  <c r="E40" i="22"/>
  <c r="E23" i="22"/>
  <c r="E14" i="8"/>
  <c r="E14" i="7"/>
  <c r="E15" i="22"/>
  <c r="D76" i="22"/>
  <c r="D59" i="15"/>
  <c r="D59" i="7"/>
  <c r="D53" i="15"/>
  <c r="D47" i="22"/>
  <c r="D47" i="15"/>
  <c r="D40" i="22"/>
  <c r="D40" i="15" s="1"/>
  <c r="D35" i="8"/>
  <c r="D36" i="22"/>
  <c r="D36" i="15"/>
  <c r="D26" i="22"/>
  <c r="D26" i="15" s="1"/>
  <c r="D23" i="22"/>
  <c r="D14" i="8"/>
  <c r="D14" i="7"/>
  <c r="D15" i="22"/>
  <c r="D93" i="2"/>
  <c r="D93" i="22"/>
  <c r="D93" i="15"/>
  <c r="D92" i="2"/>
  <c r="D92" i="22" s="1"/>
  <c r="D92" i="15" s="1"/>
  <c r="D94" i="22"/>
  <c r="D94" i="15" s="1"/>
  <c r="D23" i="15"/>
  <c r="D15" i="15"/>
  <c r="D14" i="2"/>
  <c r="D13" i="2" s="1"/>
  <c r="E93" i="2"/>
  <c r="E92" i="2"/>
  <c r="E13" i="2" s="1"/>
  <c r="E92" i="22"/>
  <c r="E92" i="15"/>
  <c r="D14" i="1"/>
  <c r="D35" i="1"/>
  <c r="E35" i="1"/>
  <c r="E14" i="1"/>
  <c r="E15" i="16"/>
  <c r="E13" i="18"/>
  <c r="E14" i="17"/>
  <c r="D78" i="15"/>
  <c r="D35" i="12"/>
  <c r="E132" i="13"/>
  <c r="E133" i="12"/>
  <c r="E133" i="15"/>
  <c r="D12" i="14"/>
  <c r="E34" i="14"/>
  <c r="E35" i="12"/>
  <c r="E35" i="3"/>
  <c r="E23" i="15"/>
  <c r="D35" i="3"/>
  <c r="D14" i="3"/>
  <c r="D34" i="3"/>
  <c r="E34" i="4"/>
  <c r="E34" i="3" s="1"/>
  <c r="E15" i="15"/>
  <c r="H76" i="7"/>
  <c r="H76" i="22"/>
  <c r="H76" i="15" s="1"/>
  <c r="E76" i="22"/>
  <c r="E76" i="7"/>
  <c r="G92" i="8"/>
  <c r="G93" i="22"/>
  <c r="G93" i="15"/>
  <c r="I118" i="7"/>
  <c r="I118" i="22"/>
  <c r="E118" i="7"/>
  <c r="E118" i="22"/>
  <c r="F78" i="7"/>
  <c r="F76" i="8"/>
  <c r="F78" i="22"/>
  <c r="I93" i="22"/>
  <c r="I92" i="8"/>
  <c r="H13" i="8"/>
  <c r="H12" i="8"/>
  <c r="H34" i="22"/>
  <c r="E35" i="7"/>
  <c r="E34" i="8"/>
  <c r="E34" i="7" s="1"/>
  <c r="E14" i="22"/>
  <c r="D35" i="7"/>
  <c r="D35" i="22"/>
  <c r="D35" i="15"/>
  <c r="D14" i="22"/>
  <c r="E93" i="22"/>
  <c r="E93" i="15"/>
  <c r="D34" i="1"/>
  <c r="E34" i="1"/>
  <c r="E13" i="1"/>
  <c r="E12" i="1" s="1"/>
  <c r="E12" i="18"/>
  <c r="E12" i="17" s="1"/>
  <c r="E13" i="17"/>
  <c r="E118" i="13"/>
  <c r="E132" i="12"/>
  <c r="E132" i="15"/>
  <c r="D11" i="14"/>
  <c r="E35" i="15"/>
  <c r="E13" i="14"/>
  <c r="G92" i="22"/>
  <c r="G92" i="15"/>
  <c r="I92" i="22"/>
  <c r="H13" i="22"/>
  <c r="F76" i="7"/>
  <c r="E34" i="22"/>
  <c r="E13" i="8"/>
  <c r="E13" i="7"/>
  <c r="D12" i="2"/>
  <c r="E118" i="12"/>
  <c r="E12" i="14"/>
  <c r="E11" i="14" s="1"/>
  <c r="E12" i="8"/>
  <c r="E11" i="8" s="1"/>
  <c r="E11" i="7" s="1"/>
  <c r="D11" i="2"/>
  <c r="H60" i="17"/>
  <c r="H90" i="16"/>
  <c r="H59" i="18"/>
  <c r="H59" i="17"/>
  <c r="H89" i="16"/>
  <c r="I60" i="17"/>
  <c r="I90" i="16"/>
  <c r="D60" i="17"/>
  <c r="D90" i="16" s="1"/>
  <c r="E11" i="18"/>
  <c r="E11" i="17" s="1"/>
  <c r="J60" i="18"/>
  <c r="K58" i="18"/>
  <c r="K58" i="17"/>
  <c r="K88" i="16"/>
  <c r="J60" i="17"/>
  <c r="J90" i="16" s="1"/>
  <c r="J59" i="18"/>
  <c r="J59" i="17"/>
  <c r="J89" i="16"/>
  <c r="G133" i="12"/>
  <c r="G133" i="15"/>
  <c r="G132" i="12"/>
  <c r="G132" i="15" s="1"/>
  <c r="G118" i="13"/>
  <c r="J133" i="13"/>
  <c r="J133" i="12" s="1"/>
  <c r="H11" i="8"/>
  <c r="H12" i="22"/>
  <c r="F61" i="22"/>
  <c r="F61" i="15"/>
  <c r="F59" i="8"/>
  <c r="F59" i="7"/>
  <c r="G34" i="8"/>
  <c r="G13" i="8" s="1"/>
  <c r="G34" i="22"/>
  <c r="F59" i="22"/>
  <c r="G59" i="7"/>
  <c r="F15" i="2"/>
  <c r="F14" i="2" s="1"/>
  <c r="G118" i="12"/>
  <c r="G118" i="15"/>
  <c r="J132" i="13"/>
  <c r="J132" i="12" s="1"/>
  <c r="L132" i="13"/>
  <c r="L132" i="12" s="1"/>
  <c r="L132" i="15" s="1"/>
  <c r="M132" i="13"/>
  <c r="H11" i="22"/>
  <c r="J118" i="13"/>
  <c r="K118" i="13"/>
  <c r="K118" i="12"/>
  <c r="K118" i="15"/>
  <c r="K132" i="12"/>
  <c r="K132" i="15" s="1"/>
  <c r="M118" i="13"/>
  <c r="M118" i="12"/>
  <c r="M118" i="15"/>
  <c r="M132" i="12"/>
  <c r="M132" i="15"/>
  <c r="L118" i="13"/>
  <c r="L118" i="12"/>
  <c r="L118" i="15" s="1"/>
  <c r="J118" i="12"/>
  <c r="I133" i="13"/>
  <c r="I133" i="12"/>
  <c r="F27" i="17"/>
  <c r="H11" i="18"/>
  <c r="F26" i="16"/>
  <c r="F23" i="17"/>
  <c r="F24" i="16"/>
  <c r="F22" i="17"/>
  <c r="F17" i="17"/>
  <c r="I16" i="16"/>
  <c r="I14" i="18"/>
  <c r="I13" i="18" s="1"/>
  <c r="I132" i="13"/>
  <c r="I132" i="12" s="1"/>
  <c r="I14" i="17"/>
  <c r="I118" i="13"/>
  <c r="I118" i="12" s="1"/>
  <c r="F134" i="13"/>
  <c r="F133" i="13" s="1"/>
  <c r="J15" i="12"/>
  <c r="F17" i="12"/>
  <c r="I17" i="15"/>
  <c r="F15" i="14"/>
  <c r="F14" i="14"/>
  <c r="H133" i="12"/>
  <c r="H132" i="13"/>
  <c r="H132" i="12" s="1"/>
  <c r="H134" i="12"/>
  <c r="F78" i="13"/>
  <c r="F76" i="13" s="1"/>
  <c r="I34" i="13"/>
  <c r="I34" i="12" s="1"/>
  <c r="F15" i="13"/>
  <c r="F26" i="6"/>
  <c r="F14" i="6" s="1"/>
  <c r="F26" i="3"/>
  <c r="F26" i="15" s="1"/>
  <c r="I14" i="6"/>
  <c r="I14" i="3"/>
  <c r="J14" i="6"/>
  <c r="F15" i="6"/>
  <c r="F15" i="3"/>
  <c r="F14" i="5"/>
  <c r="I14" i="8"/>
  <c r="I14" i="22" s="1"/>
  <c r="I14" i="15" s="1"/>
  <c r="I15" i="22"/>
  <c r="I15" i="15"/>
  <c r="F14" i="8"/>
  <c r="J15" i="22"/>
  <c r="F15" i="22"/>
  <c r="F15" i="15" s="1"/>
  <c r="J14" i="8"/>
  <c r="F79" i="15"/>
  <c r="I12" i="1"/>
  <c r="F34" i="1"/>
  <c r="F70" i="15"/>
  <c r="F134" i="12"/>
  <c r="F134" i="15"/>
  <c r="H118" i="13"/>
  <c r="F78" i="12"/>
  <c r="F78" i="15"/>
  <c r="F15" i="12"/>
  <c r="J13" i="6"/>
  <c r="J12" i="6" s="1"/>
  <c r="J11" i="6" s="1"/>
  <c r="J14" i="3"/>
  <c r="I14" i="7"/>
  <c r="I13" i="8"/>
  <c r="I12" i="8" s="1"/>
  <c r="J14" i="7"/>
  <c r="J14" i="22"/>
  <c r="J13" i="8"/>
  <c r="I11" i="1"/>
  <c r="H118" i="12"/>
  <c r="J12" i="8"/>
  <c r="J11" i="8" s="1"/>
  <c r="D133" i="13"/>
  <c r="D132" i="13" s="1"/>
  <c r="D132" i="12" s="1"/>
  <c r="D132" i="15" s="1"/>
  <c r="D133" i="12"/>
  <c r="D133" i="15" s="1"/>
  <c r="I14" i="12"/>
  <c r="I13" i="13"/>
  <c r="I12" i="13" s="1"/>
  <c r="D13" i="13"/>
  <c r="F14" i="13"/>
  <c r="G13" i="13"/>
  <c r="J14" i="13"/>
  <c r="H14" i="13"/>
  <c r="I26" i="12"/>
  <c r="I26" i="15"/>
  <c r="H14" i="12"/>
  <c r="H14" i="15" s="1"/>
  <c r="H13" i="13"/>
  <c r="G12" i="13"/>
  <c r="G11" i="13" s="1"/>
  <c r="D12" i="13"/>
  <c r="D13" i="12"/>
  <c r="F14" i="12"/>
  <c r="I13" i="12"/>
  <c r="D12" i="12"/>
  <c r="H12" i="13"/>
  <c r="H11" i="13"/>
  <c r="E56" i="16"/>
  <c r="E54" i="20"/>
  <c r="E53" i="20"/>
  <c r="E52" i="20" s="1"/>
  <c r="E55" i="16"/>
  <c r="F34" i="13" l="1"/>
  <c r="F76" i="12"/>
  <c r="E12" i="2"/>
  <c r="E13" i="22"/>
  <c r="D13" i="3"/>
  <c r="D12" i="4"/>
  <c r="I11" i="8"/>
  <c r="K14" i="6"/>
  <c r="M14" i="6"/>
  <c r="L14" i="6"/>
  <c r="F14" i="3"/>
  <c r="F13" i="6"/>
  <c r="F12" i="6" s="1"/>
  <c r="F11" i="6" s="1"/>
  <c r="F133" i="12"/>
  <c r="F132" i="13"/>
  <c r="I13" i="17"/>
  <c r="I12" i="18"/>
  <c r="I14" i="16"/>
  <c r="E11" i="1"/>
  <c r="E13" i="13"/>
  <c r="E34" i="12"/>
  <c r="E51" i="20"/>
  <c r="E53" i="16"/>
  <c r="I11" i="13"/>
  <c r="I11" i="12" s="1"/>
  <c r="I12" i="12"/>
  <c r="M14" i="2"/>
  <c r="K14" i="2"/>
  <c r="L14" i="2"/>
  <c r="F14" i="22"/>
  <c r="F14" i="15" s="1"/>
  <c r="G13" i="22"/>
  <c r="G12" i="8"/>
  <c r="E34" i="15"/>
  <c r="J13" i="13"/>
  <c r="E118" i="15"/>
  <c r="D14" i="17"/>
  <c r="D15" i="16"/>
  <c r="K14" i="19"/>
  <c r="K13" i="19" s="1"/>
  <c r="K12" i="19" s="1"/>
  <c r="K11" i="19" s="1"/>
  <c r="M14" i="19"/>
  <c r="M13" i="19" s="1"/>
  <c r="M12" i="19" s="1"/>
  <c r="M11" i="19" s="1"/>
  <c r="L14" i="19"/>
  <c r="L13" i="19" s="1"/>
  <c r="L12" i="19" s="1"/>
  <c r="L11" i="19" s="1"/>
  <c r="G11" i="4"/>
  <c r="H11" i="4"/>
  <c r="H12" i="3"/>
  <c r="H132" i="5"/>
  <c r="H133" i="3"/>
  <c r="H133" i="15" s="1"/>
  <c r="F35" i="14"/>
  <c r="F40" i="12"/>
  <c r="F40" i="15" s="1"/>
  <c r="M14" i="13"/>
  <c r="K14" i="13"/>
  <c r="L14" i="13"/>
  <c r="I15" i="16"/>
  <c r="E12" i="7"/>
  <c r="E13" i="4"/>
  <c r="D13" i="1"/>
  <c r="J92" i="5"/>
  <c r="J92" i="3" s="1"/>
  <c r="J93" i="3"/>
  <c r="J93" i="15" s="1"/>
  <c r="I34" i="5"/>
  <c r="E54" i="16"/>
  <c r="L14" i="8"/>
  <c r="M14" i="8"/>
  <c r="K14" i="8"/>
  <c r="M14" i="5"/>
  <c r="K14" i="5"/>
  <c r="L14" i="5"/>
  <c r="F27" i="16"/>
  <c r="F26" i="17"/>
  <c r="H34" i="12"/>
  <c r="H34" i="15" s="1"/>
  <c r="H13" i="14"/>
  <c r="H12" i="14" s="1"/>
  <c r="H11" i="14" s="1"/>
  <c r="H11" i="12" s="1"/>
  <c r="K34" i="6"/>
  <c r="M34" i="6"/>
  <c r="L34" i="6"/>
  <c r="G35" i="15"/>
  <c r="F92" i="3"/>
  <c r="J132" i="5"/>
  <c r="J133" i="3"/>
  <c r="J133" i="15" s="1"/>
  <c r="F132" i="5"/>
  <c r="F133" i="3"/>
  <c r="F133" i="15" s="1"/>
  <c r="M14" i="20"/>
  <c r="M13" i="20" s="1"/>
  <c r="M12" i="20" s="1"/>
  <c r="M11" i="20" s="1"/>
  <c r="L14" i="20"/>
  <c r="L13" i="20" s="1"/>
  <c r="L12" i="20" s="1"/>
  <c r="L11" i="20" s="1"/>
  <c r="K14" i="20"/>
  <c r="K13" i="20" s="1"/>
  <c r="K12" i="20" s="1"/>
  <c r="K11" i="20" s="1"/>
  <c r="F53" i="7"/>
  <c r="F35" i="9"/>
  <c r="F34" i="9" s="1"/>
  <c r="G34" i="9"/>
  <c r="G34" i="7" s="1"/>
  <c r="G35" i="7"/>
  <c r="G13" i="9"/>
  <c r="G12" i="9" s="1"/>
  <c r="G11" i="9" s="1"/>
  <c r="I13" i="4"/>
  <c r="M34" i="1"/>
  <c r="L34" i="1"/>
  <c r="K34" i="1"/>
  <c r="K14" i="14"/>
  <c r="M14" i="14"/>
  <c r="L14" i="14"/>
  <c r="D14" i="12"/>
  <c r="D14" i="15" s="1"/>
  <c r="F35" i="3"/>
  <c r="I34" i="22"/>
  <c r="I13" i="2"/>
  <c r="F93" i="12"/>
  <c r="F92" i="13"/>
  <c r="I132" i="5"/>
  <c r="I133" i="3"/>
  <c r="I133" i="15" s="1"/>
  <c r="F112" i="15"/>
  <c r="G34" i="5"/>
  <c r="G34" i="3" s="1"/>
  <c r="G34" i="15" s="1"/>
  <c r="G35" i="3"/>
  <c r="I13" i="9"/>
  <c r="G13" i="14"/>
  <c r="I57" i="16"/>
  <c r="I56" i="17"/>
  <c r="G25" i="16"/>
  <c r="F24" i="18"/>
  <c r="G24" i="17"/>
  <c r="G14" i="18"/>
  <c r="I42" i="16"/>
  <c r="G28" i="20"/>
  <c r="F28" i="20" s="1"/>
  <c r="F13" i="20" s="1"/>
  <c r="H27" i="16"/>
  <c r="F66" i="15"/>
  <c r="F83" i="3"/>
  <c r="F83" i="15" s="1"/>
  <c r="J34" i="4"/>
  <c r="F23" i="12"/>
  <c r="F23" i="15" s="1"/>
  <c r="G107" i="15"/>
  <c r="I53" i="7"/>
  <c r="I40" i="7"/>
  <c r="J26" i="7"/>
  <c r="G76" i="22"/>
  <c r="F76" i="2"/>
  <c r="F76" i="22" s="1"/>
  <c r="F18" i="15"/>
  <c r="H93" i="3"/>
  <c r="F93" i="3"/>
  <c r="F93" i="15" s="1"/>
  <c r="F47" i="15"/>
  <c r="I35" i="22"/>
  <c r="F35" i="2"/>
  <c r="F35" i="22" s="1"/>
  <c r="G14" i="3"/>
  <c r="G14" i="15" s="1"/>
  <c r="H13" i="20"/>
  <c r="H12" i="20" s="1"/>
  <c r="H11" i="20" s="1"/>
  <c r="G59" i="18"/>
  <c r="G59" i="17" s="1"/>
  <c r="G89" i="16" s="1"/>
  <c r="F50" i="12"/>
  <c r="F50" i="15" s="1"/>
  <c r="F64" i="5"/>
  <c r="F64" i="3" s="1"/>
  <c r="J41" i="17"/>
  <c r="J42" i="16"/>
  <c r="J30" i="16"/>
  <c r="J29" i="17"/>
  <c r="F15" i="18"/>
  <c r="F22" i="16"/>
  <c r="F21" i="17"/>
  <c r="F58" i="16"/>
  <c r="J46" i="16"/>
  <c r="G30" i="16"/>
  <c r="F24" i="9"/>
  <c r="I35" i="6"/>
  <c r="I34" i="6" s="1"/>
  <c r="I13" i="6" s="1"/>
  <c r="I12" i="6" s="1"/>
  <c r="I11" i="6" s="1"/>
  <c r="F59" i="4"/>
  <c r="F59" i="3" s="1"/>
  <c r="F59" i="15" s="1"/>
  <c r="G59" i="3"/>
  <c r="J15" i="3"/>
  <c r="J15" i="15" s="1"/>
  <c r="E14" i="12"/>
  <c r="J59" i="7"/>
  <c r="E47" i="7"/>
  <c r="D36" i="7"/>
  <c r="H15" i="15"/>
  <c r="M28" i="18"/>
  <c r="L28" i="18"/>
  <c r="K28" i="18"/>
  <c r="F36" i="22"/>
  <c r="F36" i="15" s="1"/>
  <c r="F35" i="8"/>
  <c r="M14" i="1"/>
  <c r="L14" i="1"/>
  <c r="K14" i="1"/>
  <c r="J34" i="2"/>
  <c r="F34" i="2" s="1"/>
  <c r="M14" i="4"/>
  <c r="K14" i="4"/>
  <c r="L14" i="4"/>
  <c r="F107" i="15"/>
  <c r="F54" i="15"/>
  <c r="I93" i="5"/>
  <c r="E14" i="5"/>
  <c r="G56" i="17"/>
  <c r="G57" i="16"/>
  <c r="J25" i="16"/>
  <c r="J24" i="17"/>
  <c r="F21" i="16"/>
  <c r="F20" i="17"/>
  <c r="J14" i="18"/>
  <c r="F93" i="9"/>
  <c r="F92" i="9" s="1"/>
  <c r="J35" i="9"/>
  <c r="H35" i="9"/>
  <c r="H134" i="3"/>
  <c r="H134" i="15" s="1"/>
  <c r="F32" i="3"/>
  <c r="F32" i="15" s="1"/>
  <c r="H13" i="19"/>
  <c r="H107" i="15"/>
  <c r="F19" i="15"/>
  <c r="J118" i="22"/>
  <c r="L92" i="2"/>
  <c r="L93" i="22" s="1"/>
  <c r="K92" i="2"/>
  <c r="K93" i="22" s="1"/>
  <c r="M92" i="2"/>
  <c r="M93" i="22" s="1"/>
  <c r="J50" i="15"/>
  <c r="K92" i="10"/>
  <c r="K13" i="10" s="1"/>
  <c r="K12" i="10" s="1"/>
  <c r="K11" i="10" s="1"/>
  <c r="M92" i="10"/>
  <c r="M13" i="10" s="1"/>
  <c r="M12" i="10" s="1"/>
  <c r="M11" i="10" s="1"/>
  <c r="L92" i="10"/>
  <c r="L13" i="10" s="1"/>
  <c r="L12" i="10" s="1"/>
  <c r="L11" i="10" s="1"/>
  <c r="E64" i="7"/>
  <c r="D28" i="18"/>
  <c r="I24" i="17"/>
  <c r="I25" i="16"/>
  <c r="J57" i="16"/>
  <c r="D30" i="16"/>
  <c r="H93" i="14"/>
  <c r="F28" i="12"/>
  <c r="F28" i="15" s="1"/>
  <c r="G15" i="15"/>
  <c r="G50" i="7"/>
  <c r="F31" i="7"/>
  <c r="F29" i="7"/>
  <c r="G26" i="7"/>
  <c r="D23" i="7"/>
  <c r="F110" i="15"/>
  <c r="J112" i="22"/>
  <c r="J112" i="15" s="1"/>
  <c r="I107" i="22"/>
  <c r="I107" i="15" s="1"/>
  <c r="J69" i="22"/>
  <c r="J69" i="15" s="1"/>
  <c r="G69" i="22"/>
  <c r="G69" i="15" s="1"/>
  <c r="G64" i="22"/>
  <c r="G64" i="15" s="1"/>
  <c r="F64" i="2"/>
  <c r="F64" i="22" s="1"/>
  <c r="F64" i="15" s="1"/>
  <c r="G59" i="22"/>
  <c r="G59" i="15" s="1"/>
  <c r="G53" i="22"/>
  <c r="G53" i="15" s="1"/>
  <c r="H26" i="22"/>
  <c r="H26" i="15" s="1"/>
  <c r="F63" i="15"/>
  <c r="I47" i="15"/>
  <c r="F46" i="15"/>
  <c r="H40" i="15"/>
  <c r="F31" i="15"/>
  <c r="L59" i="18"/>
  <c r="L60" i="17"/>
  <c r="L90" i="16" s="1"/>
  <c r="G28" i="19"/>
  <c r="G28" i="17" s="1"/>
  <c r="F61" i="7"/>
  <c r="F43" i="7"/>
  <c r="G23" i="7"/>
  <c r="H15" i="7"/>
  <c r="I20" i="15"/>
  <c r="J59" i="22"/>
  <c r="J59" i="15" s="1"/>
  <c r="J53" i="22"/>
  <c r="J53" i="15" s="1"/>
  <c r="G40" i="22"/>
  <c r="J26" i="22"/>
  <c r="J26" i="15" s="1"/>
  <c r="J23" i="22"/>
  <c r="G23" i="22"/>
  <c r="G15" i="22"/>
  <c r="I116" i="15"/>
  <c r="F56" i="15"/>
  <c r="J35" i="1"/>
  <c r="J14" i="14"/>
  <c r="J13" i="14" s="1"/>
  <c r="J12" i="14" s="1"/>
  <c r="J11" i="14" s="1"/>
  <c r="E60" i="18"/>
  <c r="H117" i="12"/>
  <c r="H117" i="15" s="1"/>
  <c r="G64" i="7"/>
  <c r="H53" i="7"/>
  <c r="E53" i="7"/>
  <c r="D47" i="7"/>
  <c r="J15" i="7"/>
  <c r="H113" i="15"/>
  <c r="F69" i="2"/>
  <c r="F69" i="22" s="1"/>
  <c r="F69" i="15" s="1"/>
  <c r="I64" i="22"/>
  <c r="I64" i="15" s="1"/>
  <c r="F17" i="22"/>
  <c r="F17" i="15" s="1"/>
  <c r="I106" i="15"/>
  <c r="J92" i="1"/>
  <c r="F76" i="1"/>
  <c r="F76" i="15" s="1"/>
  <c r="J64" i="15"/>
  <c r="D118" i="13"/>
  <c r="J35" i="10"/>
  <c r="J34" i="10" s="1"/>
  <c r="J13" i="10" s="1"/>
  <c r="J12" i="10" s="1"/>
  <c r="J11" i="10" s="1"/>
  <c r="H112" i="15"/>
  <c r="I94" i="15"/>
  <c r="G47" i="7"/>
  <c r="F27" i="22"/>
  <c r="F27" i="15" s="1"/>
  <c r="F27" i="7"/>
  <c r="G112" i="22"/>
  <c r="G112" i="15" s="1"/>
  <c r="H64" i="22"/>
  <c r="H64" i="15" s="1"/>
  <c r="I40" i="22"/>
  <c r="I36" i="22"/>
  <c r="I36" i="15" s="1"/>
  <c r="F24" i="22"/>
  <c r="F24" i="15" s="1"/>
  <c r="F16" i="22"/>
  <c r="F16" i="15" s="1"/>
  <c r="F60" i="15"/>
  <c r="I40" i="15"/>
  <c r="J23" i="15"/>
  <c r="M59" i="18"/>
  <c r="M60" i="17"/>
  <c r="M90" i="16" s="1"/>
  <c r="D64" i="3"/>
  <c r="F126" i="15"/>
  <c r="F122" i="15"/>
  <c r="F102" i="15"/>
  <c r="F68" i="22"/>
  <c r="F58" i="22"/>
  <c r="F58" i="15" s="1"/>
  <c r="F43" i="22"/>
  <c r="F43" i="15" s="1"/>
  <c r="F38" i="15"/>
  <c r="G16" i="15"/>
  <c r="I76" i="12"/>
  <c r="I76" i="15" s="1"/>
  <c r="D100" i="15"/>
  <c r="D65" i="15"/>
  <c r="E126" i="15"/>
  <c r="E122" i="15"/>
  <c r="E117" i="15"/>
  <c r="E89" i="15"/>
  <c r="G105" i="15"/>
  <c r="G18" i="15"/>
  <c r="H125" i="15"/>
  <c r="H121" i="15"/>
  <c r="H102" i="15"/>
  <c r="H82" i="15"/>
  <c r="H20" i="15"/>
  <c r="I115" i="15"/>
  <c r="H47" i="15"/>
  <c r="F125" i="15"/>
  <c r="F121" i="15"/>
  <c r="F115" i="15"/>
  <c r="F105" i="15"/>
  <c r="F90" i="15"/>
  <c r="F82" i="15"/>
  <c r="F77" i="22"/>
  <c r="F77" i="15" s="1"/>
  <c r="F72" i="15"/>
  <c r="F67" i="22"/>
  <c r="F67" i="15" s="1"/>
  <c r="F52" i="15"/>
  <c r="F42" i="15"/>
  <c r="E76" i="3"/>
  <c r="E76" i="15" s="1"/>
  <c r="E28" i="15"/>
  <c r="G100" i="15"/>
  <c r="H33" i="15"/>
  <c r="I123" i="15"/>
  <c r="I81" i="15"/>
  <c r="H23" i="15"/>
  <c r="F22" i="15"/>
  <c r="F124" i="15"/>
  <c r="F109" i="15"/>
  <c r="F104" i="15"/>
  <c r="F96" i="15"/>
  <c r="F89" i="15"/>
  <c r="F85" i="15"/>
  <c r="F75" i="15"/>
  <c r="F41" i="22"/>
  <c r="F41" i="15" s="1"/>
  <c r="F33" i="15"/>
  <c r="H78" i="7"/>
  <c r="D76" i="12"/>
  <c r="D76" i="15" s="1"/>
  <c r="H47" i="22"/>
  <c r="D115" i="15"/>
  <c r="D91" i="15"/>
  <c r="D87" i="15"/>
  <c r="D25" i="15"/>
  <c r="E124" i="15"/>
  <c r="E120" i="15"/>
  <c r="E106" i="15"/>
  <c r="E87" i="15"/>
  <c r="G126" i="15"/>
  <c r="G122" i="15"/>
  <c r="G108" i="15"/>
  <c r="G103" i="15"/>
  <c r="G79" i="15"/>
  <c r="G30" i="15"/>
  <c r="G20" i="15"/>
  <c r="H127" i="15"/>
  <c r="H123" i="15"/>
  <c r="H119" i="15"/>
  <c r="H104" i="15"/>
  <c r="H100" i="15"/>
  <c r="H22" i="15"/>
  <c r="I103" i="15"/>
  <c r="J125" i="15"/>
  <c r="E108" i="15"/>
  <c r="E99" i="15"/>
  <c r="H98" i="15"/>
  <c r="D98" i="15"/>
  <c r="J85" i="15"/>
  <c r="H83" i="15"/>
  <c r="D81" i="15"/>
  <c r="J60" i="15"/>
  <c r="E49" i="15"/>
  <c r="J27" i="15"/>
  <c r="D19" i="15"/>
  <c r="L133" i="15"/>
  <c r="H69" i="22"/>
  <c r="H69" i="15" s="1"/>
  <c r="I59" i="22"/>
  <c r="I59" i="15" s="1"/>
  <c r="I50" i="22"/>
  <c r="I50" i="15" s="1"/>
  <c r="J40" i="22"/>
  <c r="J40" i="15" s="1"/>
  <c r="J36" i="22"/>
  <c r="J36" i="15" s="1"/>
  <c r="F68" i="15"/>
  <c r="G40" i="15"/>
  <c r="H36" i="15"/>
  <c r="G23" i="15"/>
  <c r="I23" i="7"/>
  <c r="E66" i="22"/>
  <c r="E66" i="15" s="1"/>
  <c r="D66" i="8"/>
  <c r="F123" i="15"/>
  <c r="F108" i="15"/>
  <c r="F103" i="15"/>
  <c r="F99" i="15"/>
  <c r="F95" i="15"/>
  <c r="F84" i="15"/>
  <c r="F65" i="22"/>
  <c r="F65" i="15" s="1"/>
  <c r="F49" i="15"/>
  <c r="F39" i="15"/>
  <c r="J78" i="12"/>
  <c r="J78" i="15" s="1"/>
  <c r="G76" i="12"/>
  <c r="G47" i="22"/>
  <c r="G47" i="15" s="1"/>
  <c r="E20" i="15"/>
  <c r="G116" i="15"/>
  <c r="G98" i="15"/>
  <c r="G33" i="15"/>
  <c r="H108" i="15"/>
  <c r="H31" i="15"/>
  <c r="H17" i="15"/>
  <c r="I125" i="15"/>
  <c r="I121" i="15"/>
  <c r="D125" i="15"/>
  <c r="D121" i="15"/>
  <c r="D49" i="15"/>
  <c r="D39" i="15"/>
  <c r="E70" i="15"/>
  <c r="E57" i="15"/>
  <c r="E52" i="15"/>
  <c r="E38" i="15"/>
  <c r="E31" i="15"/>
  <c r="G65" i="15"/>
  <c r="G60" i="15"/>
  <c r="G46" i="15"/>
  <c r="G42" i="15"/>
  <c r="G39" i="15"/>
  <c r="G24" i="15"/>
  <c r="H65" i="15"/>
  <c r="H56" i="15"/>
  <c r="H46" i="15"/>
  <c r="H42" i="15"/>
  <c r="H38" i="15"/>
  <c r="I77" i="15"/>
  <c r="I72" i="15"/>
  <c r="I68" i="15"/>
  <c r="I60" i="15"/>
  <c r="I56" i="15"/>
  <c r="I51" i="15"/>
  <c r="I46" i="15"/>
  <c r="I42" i="15"/>
  <c r="I38" i="15"/>
  <c r="J126" i="15"/>
  <c r="J123" i="15"/>
  <c r="J100" i="15"/>
  <c r="J89" i="15"/>
  <c r="J81" i="15"/>
  <c r="J66" i="15"/>
  <c r="J61" i="15"/>
  <c r="J56" i="15"/>
  <c r="J51" i="15"/>
  <c r="J22" i="15"/>
  <c r="F137" i="15"/>
  <c r="E78" i="3"/>
  <c r="E78" i="15" s="1"/>
  <c r="D124" i="15"/>
  <c r="D120" i="15"/>
  <c r="D77" i="15"/>
  <c r="D72" i="15"/>
  <c r="D68" i="15"/>
  <c r="D56" i="15"/>
  <c r="D52" i="15"/>
  <c r="D38" i="15"/>
  <c r="D31" i="15"/>
  <c r="D20" i="15"/>
  <c r="E73" i="15"/>
  <c r="E56" i="15"/>
  <c r="E46" i="15"/>
  <c r="E42" i="15"/>
  <c r="G77" i="15"/>
  <c r="G72" i="15"/>
  <c r="G68" i="15"/>
  <c r="G58" i="15"/>
  <c r="G49" i="15"/>
  <c r="G45" i="15"/>
  <c r="G41" i="15"/>
  <c r="G38" i="15"/>
  <c r="G32" i="15"/>
  <c r="H77" i="15"/>
  <c r="H72" i="15"/>
  <c r="H68" i="15"/>
  <c r="H60" i="15"/>
  <c r="H49" i="15"/>
  <c r="H45" i="15"/>
  <c r="H41" i="15"/>
  <c r="H37" i="15"/>
  <c r="H30" i="15"/>
  <c r="H19" i="15"/>
  <c r="H16" i="15"/>
  <c r="I75" i="15"/>
  <c r="I67" i="15"/>
  <c r="I63" i="15"/>
  <c r="I41" i="15"/>
  <c r="I37" i="15"/>
  <c r="J115" i="15"/>
  <c r="J65" i="15"/>
  <c r="J55" i="15"/>
  <c r="J49" i="15"/>
  <c r="H66" i="15"/>
  <c r="D127" i="15"/>
  <c r="D123" i="15"/>
  <c r="D119" i="15"/>
  <c r="D75" i="15"/>
  <c r="D60" i="15"/>
  <c r="D46" i="15"/>
  <c r="D42" i="15"/>
  <c r="E68" i="15"/>
  <c r="E60" i="15"/>
  <c r="E33" i="15"/>
  <c r="G75" i="15"/>
  <c r="G67" i="15"/>
  <c r="G63" i="15"/>
  <c r="G48" i="15"/>
  <c r="H75" i="15"/>
  <c r="H63" i="15"/>
  <c r="H58" i="15"/>
  <c r="H48" i="15"/>
  <c r="H32" i="15"/>
  <c r="H21" i="15"/>
  <c r="H18" i="15"/>
  <c r="I66" i="15"/>
  <c r="I62" i="15"/>
  <c r="I58" i="15"/>
  <c r="I49" i="15"/>
  <c r="I22" i="15"/>
  <c r="I19" i="15"/>
  <c r="J114" i="15"/>
  <c r="J83" i="15"/>
  <c r="J73" i="15"/>
  <c r="J58" i="15"/>
  <c r="J37" i="15"/>
  <c r="J30" i="15"/>
  <c r="J25" i="15"/>
  <c r="J20" i="15"/>
  <c r="F135" i="15"/>
  <c r="D126" i="15"/>
  <c r="D122" i="15"/>
  <c r="D117" i="15"/>
  <c r="D63" i="15"/>
  <c r="D45" i="15"/>
  <c r="D33" i="15"/>
  <c r="E75" i="15"/>
  <c r="E71" i="15"/>
  <c r="E63" i="15"/>
  <c r="E58" i="15"/>
  <c r="E39" i="15"/>
  <c r="E25" i="15"/>
  <c r="G74" i="15"/>
  <c r="G70" i="15"/>
  <c r="G56" i="15"/>
  <c r="G52" i="15"/>
  <c r="G21" i="15"/>
  <c r="H74" i="15"/>
  <c r="H70" i="15"/>
  <c r="H52" i="15"/>
  <c r="H39" i="15"/>
  <c r="H28" i="15"/>
  <c r="H24" i="15"/>
  <c r="I65" i="15"/>
  <c r="I61" i="15"/>
  <c r="I57" i="15"/>
  <c r="I52" i="15"/>
  <c r="I48" i="15"/>
  <c r="I39" i="15"/>
  <c r="I33" i="15"/>
  <c r="I30" i="15"/>
  <c r="I25" i="15"/>
  <c r="I21" i="15"/>
  <c r="J124" i="15"/>
  <c r="J72" i="15"/>
  <c r="J62" i="15"/>
  <c r="J57" i="15"/>
  <c r="J46" i="15"/>
  <c r="J41" i="15"/>
  <c r="J33" i="15"/>
  <c r="J24" i="15"/>
  <c r="J19" i="15"/>
  <c r="G43" i="15"/>
  <c r="M34" i="2" l="1"/>
  <c r="L34" i="2"/>
  <c r="K34" i="2"/>
  <c r="F13" i="2"/>
  <c r="D118" i="12"/>
  <c r="D11" i="13"/>
  <c r="D11" i="12" s="1"/>
  <c r="L58" i="18"/>
  <c r="L58" i="17" s="1"/>
  <c r="L88" i="16" s="1"/>
  <c r="L59" i="17"/>
  <c r="L89" i="16" s="1"/>
  <c r="D29" i="16"/>
  <c r="D28" i="17"/>
  <c r="D13" i="18"/>
  <c r="J13" i="18"/>
  <c r="J15" i="16"/>
  <c r="J14" i="17"/>
  <c r="I92" i="5"/>
  <c r="I93" i="3"/>
  <c r="I93" i="15" s="1"/>
  <c r="K14" i="3"/>
  <c r="L13" i="1"/>
  <c r="K29" i="16"/>
  <c r="K28" i="17"/>
  <c r="F23" i="9"/>
  <c r="F24" i="7"/>
  <c r="F118" i="5"/>
  <c r="F118" i="3" s="1"/>
  <c r="F118" i="15" s="1"/>
  <c r="F132" i="3"/>
  <c r="E12" i="4"/>
  <c r="K14" i="12"/>
  <c r="F34" i="14"/>
  <c r="F35" i="12"/>
  <c r="F35" i="15" s="1"/>
  <c r="J13" i="5"/>
  <c r="J12" i="5" s="1"/>
  <c r="M13" i="2"/>
  <c r="M12" i="2" s="1"/>
  <c r="M11" i="2" s="1"/>
  <c r="M14" i="22"/>
  <c r="J14" i="12"/>
  <c r="J14" i="15" s="1"/>
  <c r="H13" i="12"/>
  <c r="H13" i="15" s="1"/>
  <c r="F132" i="12"/>
  <c r="F118" i="13"/>
  <c r="F118" i="12" s="1"/>
  <c r="L13" i="6"/>
  <c r="L12" i="6" s="1"/>
  <c r="L11" i="6" s="1"/>
  <c r="J35" i="15"/>
  <c r="J34" i="1"/>
  <c r="L92" i="15"/>
  <c r="H35" i="7"/>
  <c r="H34" i="9"/>
  <c r="M14" i="3"/>
  <c r="M13" i="1"/>
  <c r="L29" i="16"/>
  <c r="L28" i="17"/>
  <c r="G76" i="15"/>
  <c r="G13" i="18"/>
  <c r="G14" i="17"/>
  <c r="G15" i="16"/>
  <c r="I12" i="9"/>
  <c r="I13" i="7"/>
  <c r="M92" i="13"/>
  <c r="M92" i="12" s="1"/>
  <c r="K92" i="13"/>
  <c r="K92" i="12" s="1"/>
  <c r="K92" i="15" s="1"/>
  <c r="L92" i="13"/>
  <c r="L92" i="12" s="1"/>
  <c r="F92" i="12"/>
  <c r="I12" i="2"/>
  <c r="I13" i="22"/>
  <c r="F34" i="4"/>
  <c r="I35" i="3"/>
  <c r="I35" i="15" s="1"/>
  <c r="G13" i="20"/>
  <c r="G12" i="20" s="1"/>
  <c r="M14" i="12"/>
  <c r="G12" i="22"/>
  <c r="G12" i="7"/>
  <c r="G11" i="8"/>
  <c r="H12" i="12"/>
  <c r="M13" i="6"/>
  <c r="M12" i="6" s="1"/>
  <c r="M11" i="6" s="1"/>
  <c r="E11" i="2"/>
  <c r="E11" i="22" s="1"/>
  <c r="E12" i="22"/>
  <c r="J91" i="1"/>
  <c r="J92" i="15"/>
  <c r="F92" i="1"/>
  <c r="F92" i="15" s="1"/>
  <c r="E60" i="17"/>
  <c r="E90" i="16" s="1"/>
  <c r="E59" i="18"/>
  <c r="E59" i="17" s="1"/>
  <c r="E89" i="16" s="1"/>
  <c r="G29" i="16"/>
  <c r="F28" i="19"/>
  <c r="G13" i="19"/>
  <c r="G12" i="19" s="1"/>
  <c r="H14" i="16"/>
  <c r="H12" i="19"/>
  <c r="H13" i="17"/>
  <c r="J34" i="9"/>
  <c r="J35" i="7"/>
  <c r="J13" i="2"/>
  <c r="J34" i="22"/>
  <c r="F35" i="7"/>
  <c r="F34" i="8"/>
  <c r="M29" i="16"/>
  <c r="M28" i="17"/>
  <c r="F16" i="16"/>
  <c r="F14" i="18"/>
  <c r="F15" i="17"/>
  <c r="I132" i="3"/>
  <c r="I132" i="15" s="1"/>
  <c r="I118" i="5"/>
  <c r="I118" i="3" s="1"/>
  <c r="I118" i="15" s="1"/>
  <c r="I34" i="15"/>
  <c r="I12" i="4"/>
  <c r="F34" i="5"/>
  <c r="J132" i="3"/>
  <c r="J132" i="15" s="1"/>
  <c r="J118" i="5"/>
  <c r="J118" i="3" s="1"/>
  <c r="I34" i="3"/>
  <c r="D12" i="1"/>
  <c r="H118" i="5"/>
  <c r="H132" i="3"/>
  <c r="H132" i="15" s="1"/>
  <c r="J12" i="13"/>
  <c r="J13" i="12"/>
  <c r="G13" i="7"/>
  <c r="L14" i="22"/>
  <c r="L13" i="2"/>
  <c r="L12" i="2" s="1"/>
  <c r="L11" i="2" s="1"/>
  <c r="I13" i="16"/>
  <c r="I12" i="17"/>
  <c r="I11" i="18"/>
  <c r="K13" i="6"/>
  <c r="K12" i="6" s="1"/>
  <c r="K11" i="6" s="1"/>
  <c r="D12" i="3"/>
  <c r="D11" i="4"/>
  <c r="D11" i="3" s="1"/>
  <c r="D66" i="22"/>
  <c r="D66" i="15" s="1"/>
  <c r="D66" i="7"/>
  <c r="D64" i="8"/>
  <c r="M59" i="17"/>
  <c r="M89" i="16" s="1"/>
  <c r="M58" i="18"/>
  <c r="M58" i="17" s="1"/>
  <c r="M88" i="16" s="1"/>
  <c r="H93" i="12"/>
  <c r="H93" i="15" s="1"/>
  <c r="H92" i="14"/>
  <c r="H92" i="12" s="1"/>
  <c r="H92" i="15" s="1"/>
  <c r="M92" i="15"/>
  <c r="J118" i="15"/>
  <c r="E14" i="3"/>
  <c r="E14" i="15" s="1"/>
  <c r="E13" i="5"/>
  <c r="E12" i="5" s="1"/>
  <c r="E11" i="5" s="1"/>
  <c r="L14" i="3"/>
  <c r="K13" i="1"/>
  <c r="J34" i="3"/>
  <c r="J13" i="4"/>
  <c r="F24" i="17"/>
  <c r="F25" i="16"/>
  <c r="G12" i="14"/>
  <c r="G13" i="12"/>
  <c r="G13" i="5"/>
  <c r="L14" i="12"/>
  <c r="L13" i="13"/>
  <c r="L12" i="13" s="1"/>
  <c r="L11" i="13" s="1"/>
  <c r="H12" i="15"/>
  <c r="K13" i="2"/>
  <c r="K12" i="2" s="1"/>
  <c r="K11" i="2" s="1"/>
  <c r="K14" i="22"/>
  <c r="K14" i="15" s="1"/>
  <c r="E50" i="20"/>
  <c r="E52" i="16"/>
  <c r="E13" i="12"/>
  <c r="E12" i="13"/>
  <c r="L34" i="13"/>
  <c r="M34" i="13"/>
  <c r="M13" i="13" s="1"/>
  <c r="M12" i="13" s="1"/>
  <c r="M11" i="13" s="1"/>
  <c r="K34" i="13"/>
  <c r="F34" i="12"/>
  <c r="F13" i="13"/>
  <c r="D64" i="22" l="1"/>
  <c r="D64" i="15" s="1"/>
  <c r="D64" i="7"/>
  <c r="D34" i="8"/>
  <c r="H11" i="5"/>
  <c r="H11" i="3" s="1"/>
  <c r="H11" i="15" s="1"/>
  <c r="H118" i="3"/>
  <c r="H118" i="15" s="1"/>
  <c r="L34" i="5"/>
  <c r="L13" i="5" s="1"/>
  <c r="L12" i="5" s="1"/>
  <c r="L11" i="5" s="1"/>
  <c r="K34" i="5"/>
  <c r="K13" i="5" s="1"/>
  <c r="K12" i="5" s="1"/>
  <c r="K11" i="5" s="1"/>
  <c r="M34" i="5"/>
  <c r="M13" i="5" s="1"/>
  <c r="M12" i="5" s="1"/>
  <c r="M11" i="5" s="1"/>
  <c r="F13" i="5"/>
  <c r="F12" i="5" s="1"/>
  <c r="F11" i="5" s="1"/>
  <c r="K14" i="18"/>
  <c r="M14" i="18"/>
  <c r="L14" i="18"/>
  <c r="F14" i="17"/>
  <c r="F15" i="16"/>
  <c r="F13" i="18"/>
  <c r="M34" i="8"/>
  <c r="M13" i="8" s="1"/>
  <c r="F13" i="8"/>
  <c r="K34" i="8"/>
  <c r="K13" i="8" s="1"/>
  <c r="L34" i="8"/>
  <c r="L13" i="8" s="1"/>
  <c r="F34" i="7"/>
  <c r="J91" i="15"/>
  <c r="F91" i="1"/>
  <c r="M12" i="1"/>
  <c r="F132" i="15"/>
  <c r="K34" i="22"/>
  <c r="K12" i="1"/>
  <c r="J12" i="12"/>
  <c r="J11" i="13"/>
  <c r="J11" i="12" s="1"/>
  <c r="J34" i="7"/>
  <c r="J13" i="9"/>
  <c r="G11" i="19"/>
  <c r="F12" i="19"/>
  <c r="G11" i="7"/>
  <c r="G11" i="22"/>
  <c r="I11" i="2"/>
  <c r="I11" i="22" s="1"/>
  <c r="I12" i="22"/>
  <c r="L34" i="14"/>
  <c r="L13" i="14" s="1"/>
  <c r="L12" i="14" s="1"/>
  <c r="L11" i="14" s="1"/>
  <c r="L11" i="12" s="1"/>
  <c r="K34" i="14"/>
  <c r="K13" i="14" s="1"/>
  <c r="K12" i="14" s="1"/>
  <c r="K11" i="14" s="1"/>
  <c r="M34" i="14"/>
  <c r="M13" i="14" s="1"/>
  <c r="M12" i="14" s="1"/>
  <c r="M11" i="14" s="1"/>
  <c r="M11" i="12" s="1"/>
  <c r="F13" i="14"/>
  <c r="F12" i="14" s="1"/>
  <c r="F11" i="14" s="1"/>
  <c r="E12" i="3"/>
  <c r="E11" i="4"/>
  <c r="E11" i="3" s="1"/>
  <c r="E11" i="15" s="1"/>
  <c r="L12" i="1"/>
  <c r="J12" i="18"/>
  <c r="J14" i="16"/>
  <c r="J13" i="17"/>
  <c r="L34" i="22"/>
  <c r="G12" i="5"/>
  <c r="G13" i="3"/>
  <c r="G13" i="15" s="1"/>
  <c r="J12" i="4"/>
  <c r="J13" i="3"/>
  <c r="I11" i="17"/>
  <c r="I12" i="16"/>
  <c r="D11" i="1"/>
  <c r="I11" i="4"/>
  <c r="F29" i="16"/>
  <c r="F13" i="19"/>
  <c r="F28" i="17"/>
  <c r="F12" i="20"/>
  <c r="G11" i="20"/>
  <c r="F11" i="20" s="1"/>
  <c r="G14" i="16"/>
  <c r="G13" i="17"/>
  <c r="G12" i="18"/>
  <c r="J13" i="1"/>
  <c r="J34" i="15"/>
  <c r="O14" i="13"/>
  <c r="P14" i="13" s="1"/>
  <c r="E13" i="3"/>
  <c r="E13" i="15" s="1"/>
  <c r="F23" i="7"/>
  <c r="F14" i="9"/>
  <c r="L14" i="15"/>
  <c r="I92" i="3"/>
  <c r="I92" i="15" s="1"/>
  <c r="I13" i="5"/>
  <c r="F12" i="2"/>
  <c r="F13" i="22"/>
  <c r="M34" i="22"/>
  <c r="E11" i="13"/>
  <c r="E11" i="12" s="1"/>
  <c r="E12" i="12"/>
  <c r="E12" i="15" s="1"/>
  <c r="F13" i="12"/>
  <c r="F12" i="13"/>
  <c r="L34" i="12"/>
  <c r="L13" i="12" s="1"/>
  <c r="L12" i="12" s="1"/>
  <c r="E51" i="16"/>
  <c r="E49" i="20"/>
  <c r="G11" i="14"/>
  <c r="G11" i="12" s="1"/>
  <c r="G12" i="12"/>
  <c r="J12" i="2"/>
  <c r="J13" i="22"/>
  <c r="H11" i="19"/>
  <c r="H13" i="16"/>
  <c r="H12" i="17"/>
  <c r="M34" i="4"/>
  <c r="F34" i="3"/>
  <c r="L34" i="4"/>
  <c r="K34" i="4"/>
  <c r="F13" i="4"/>
  <c r="I11" i="9"/>
  <c r="I11" i="7" s="1"/>
  <c r="I12" i="7"/>
  <c r="M14" i="15"/>
  <c r="H13" i="9"/>
  <c r="H34" i="7"/>
  <c r="J11" i="5"/>
  <c r="K13" i="13"/>
  <c r="K12" i="13" s="1"/>
  <c r="K11" i="13" s="1"/>
  <c r="K11" i="12" s="1"/>
  <c r="D14" i="16"/>
  <c r="D12" i="18"/>
  <c r="D13" i="17"/>
  <c r="F34" i="22"/>
  <c r="F34" i="15" s="1"/>
  <c r="L11" i="1" l="1"/>
  <c r="J12" i="9"/>
  <c r="J13" i="7"/>
  <c r="K11" i="1"/>
  <c r="M11" i="1"/>
  <c r="F12" i="8"/>
  <c r="F11" i="2"/>
  <c r="F12" i="22"/>
  <c r="F13" i="9"/>
  <c r="F12" i="9" s="1"/>
  <c r="F11" i="9" s="1"/>
  <c r="K14" i="9"/>
  <c r="F14" i="7"/>
  <c r="G11" i="5"/>
  <c r="G11" i="3" s="1"/>
  <c r="G12" i="3"/>
  <c r="G12" i="15" s="1"/>
  <c r="M12" i="8"/>
  <c r="L13" i="18"/>
  <c r="L15" i="16"/>
  <c r="L14" i="17"/>
  <c r="E48" i="20"/>
  <c r="E50" i="16"/>
  <c r="L34" i="3"/>
  <c r="L34" i="15" s="1"/>
  <c r="L13" i="4"/>
  <c r="J11" i="2"/>
  <c r="J11" i="22" s="1"/>
  <c r="J12" i="22"/>
  <c r="I12" i="5"/>
  <c r="I13" i="3"/>
  <c r="I13" i="15" s="1"/>
  <c r="J12" i="1"/>
  <c r="J13" i="15"/>
  <c r="M34" i="12"/>
  <c r="M13" i="12" s="1"/>
  <c r="M12" i="12" s="1"/>
  <c r="L12" i="8"/>
  <c r="F14" i="16"/>
  <c r="F13" i="17"/>
  <c r="M13" i="18"/>
  <c r="M15" i="16"/>
  <c r="M14" i="17"/>
  <c r="D13" i="8"/>
  <c r="D34" i="7"/>
  <c r="D34" i="22"/>
  <c r="D34" i="15" s="1"/>
  <c r="K34" i="3"/>
  <c r="K34" i="15" s="1"/>
  <c r="K13" i="4"/>
  <c r="D13" i="16"/>
  <c r="D12" i="17"/>
  <c r="D11" i="18"/>
  <c r="H12" i="9"/>
  <c r="H13" i="7"/>
  <c r="F12" i="4"/>
  <c r="F13" i="3"/>
  <c r="M34" i="3"/>
  <c r="M34" i="15" s="1"/>
  <c r="M13" i="4"/>
  <c r="H11" i="17"/>
  <c r="H12" i="16"/>
  <c r="F12" i="12"/>
  <c r="F11" i="13"/>
  <c r="F11" i="12" s="1"/>
  <c r="G11" i="18"/>
  <c r="G13" i="16"/>
  <c r="G12" i="17"/>
  <c r="F12" i="18"/>
  <c r="L13" i="22"/>
  <c r="L12" i="22" s="1"/>
  <c r="L11" i="22" s="1"/>
  <c r="J11" i="4"/>
  <c r="J11" i="3" s="1"/>
  <c r="J12" i="3"/>
  <c r="K34" i="12"/>
  <c r="K13" i="12" s="1"/>
  <c r="K12" i="12" s="1"/>
  <c r="J12" i="17"/>
  <c r="J11" i="18"/>
  <c r="J13" i="16"/>
  <c r="G11" i="15"/>
  <c r="F11" i="19"/>
  <c r="K13" i="22"/>
  <c r="K12" i="22" s="1"/>
  <c r="K11" i="22" s="1"/>
  <c r="M13" i="22"/>
  <c r="M12" i="22" s="1"/>
  <c r="M11" i="22" s="1"/>
  <c r="F91" i="15"/>
  <c r="F13" i="1"/>
  <c r="K12" i="8"/>
  <c r="K13" i="18"/>
  <c r="K14" i="17"/>
  <c r="K15" i="16"/>
  <c r="M13" i="3" l="1"/>
  <c r="M12" i="4"/>
  <c r="M12" i="18"/>
  <c r="M13" i="17"/>
  <c r="M14" i="16"/>
  <c r="L11" i="8"/>
  <c r="L12" i="4"/>
  <c r="L13" i="3"/>
  <c r="H11" i="9"/>
  <c r="H11" i="7" s="1"/>
  <c r="H12" i="7"/>
  <c r="K12" i="4"/>
  <c r="K13" i="3"/>
  <c r="D12" i="8"/>
  <c r="D13" i="22"/>
  <c r="D13" i="15" s="1"/>
  <c r="D13" i="7"/>
  <c r="I11" i="5"/>
  <c r="I11" i="3" s="1"/>
  <c r="I11" i="15" s="1"/>
  <c r="I12" i="3"/>
  <c r="I12" i="15" s="1"/>
  <c r="K11" i="8"/>
  <c r="F12" i="1"/>
  <c r="F13" i="15"/>
  <c r="G11" i="17"/>
  <c r="G12" i="16"/>
  <c r="F11" i="18"/>
  <c r="D11" i="17"/>
  <c r="D12" i="16"/>
  <c r="L14" i="16"/>
  <c r="L13" i="17"/>
  <c r="L12" i="18"/>
  <c r="K13" i="9"/>
  <c r="L14" i="9"/>
  <c r="F12" i="7"/>
  <c r="F11" i="8"/>
  <c r="F11" i="7" s="1"/>
  <c r="J11" i="9"/>
  <c r="J11" i="7" s="1"/>
  <c r="J12" i="7"/>
  <c r="J11" i="17"/>
  <c r="J12" i="16"/>
  <c r="K12" i="18"/>
  <c r="K13" i="17"/>
  <c r="K14" i="16"/>
  <c r="F13" i="16"/>
  <c r="F12" i="17"/>
  <c r="F11" i="4"/>
  <c r="F11" i="3" s="1"/>
  <c r="F12" i="3"/>
  <c r="J12" i="15"/>
  <c r="J11" i="1"/>
  <c r="J11" i="15" s="1"/>
  <c r="E49" i="16"/>
  <c r="E47" i="20"/>
  <c r="M11" i="8"/>
  <c r="F13" i="7"/>
  <c r="E46" i="20" l="1"/>
  <c r="E48" i="16"/>
  <c r="F12" i="16"/>
  <c r="F11" i="17"/>
  <c r="F11" i="1"/>
  <c r="F12" i="15"/>
  <c r="D11" i="8"/>
  <c r="D12" i="22"/>
  <c r="D12" i="15" s="1"/>
  <c r="D12" i="7"/>
  <c r="L11" i="4"/>
  <c r="L11" i="3" s="1"/>
  <c r="L12" i="3"/>
  <c r="M11" i="18"/>
  <c r="M12" i="17"/>
  <c r="M13" i="16"/>
  <c r="L13" i="9"/>
  <c r="M14" i="9"/>
  <c r="M13" i="9" s="1"/>
  <c r="K13" i="16"/>
  <c r="K11" i="18"/>
  <c r="K12" i="17"/>
  <c r="K12" i="9"/>
  <c r="K13" i="7"/>
  <c r="K13" i="15" s="1"/>
  <c r="K11" i="4"/>
  <c r="K11" i="3" s="1"/>
  <c r="K12" i="3"/>
  <c r="M12" i="3"/>
  <c r="M11" i="4"/>
  <c r="M11" i="3" s="1"/>
  <c r="L12" i="17"/>
  <c r="L13" i="16"/>
  <c r="L11" i="18"/>
  <c r="F11" i="22"/>
  <c r="M12" i="9" l="1"/>
  <c r="M13" i="7"/>
  <c r="M13" i="15" s="1"/>
  <c r="M11" i="17"/>
  <c r="M12" i="16"/>
  <c r="D11" i="7"/>
  <c r="D11" i="22"/>
  <c r="D11" i="15" s="1"/>
  <c r="L12" i="16"/>
  <c r="L11" i="17"/>
  <c r="K11" i="9"/>
  <c r="K11" i="7" s="1"/>
  <c r="K11" i="15" s="1"/>
  <c r="K12" i="7"/>
  <c r="K12" i="15" s="1"/>
  <c r="K11" i="17"/>
  <c r="K12" i="16"/>
  <c r="L12" i="9"/>
  <c r="L13" i="7"/>
  <c r="L13" i="15" s="1"/>
  <c r="F11" i="15"/>
  <c r="E45" i="20"/>
  <c r="E47" i="16"/>
  <c r="L11" i="9" l="1"/>
  <c r="L11" i="7" s="1"/>
  <c r="L11" i="15" s="1"/>
  <c r="L12" i="7"/>
  <c r="L12" i="15" s="1"/>
  <c r="E44" i="20"/>
  <c r="E46" i="16"/>
  <c r="M11" i="9"/>
  <c r="M11" i="7" s="1"/>
  <c r="M11" i="15" s="1"/>
  <c r="M12" i="7"/>
  <c r="M12" i="15" s="1"/>
  <c r="E43" i="20" l="1"/>
  <c r="E45" i="16"/>
  <c r="E42" i="20" l="1"/>
  <c r="E44" i="16"/>
  <c r="E43" i="16" l="1"/>
  <c r="E41" i="20"/>
  <c r="E40" i="20" l="1"/>
  <c r="E42" i="16"/>
  <c r="E39" i="20" l="1"/>
  <c r="E41" i="16"/>
  <c r="E38" i="20" l="1"/>
  <c r="E40" i="16"/>
  <c r="E37" i="20" l="1"/>
  <c r="E39" i="16"/>
  <c r="E36" i="20" l="1"/>
  <c r="E38" i="16"/>
  <c r="E35" i="20" l="1"/>
  <c r="E37" i="16"/>
  <c r="E34" i="20" l="1"/>
  <c r="E36" i="16"/>
  <c r="E35" i="16" l="1"/>
  <c r="E33" i="20"/>
  <c r="E32" i="20" l="1"/>
  <c r="E34" i="16"/>
  <c r="E31" i="20" l="1"/>
  <c r="E33" i="16"/>
  <c r="E30" i="20" l="1"/>
  <c r="E32" i="16"/>
  <c r="E29" i="20" l="1"/>
  <c r="E31" i="16"/>
  <c r="E30" i="16" l="1"/>
  <c r="E28" i="20"/>
  <c r="E13" i="20" l="1"/>
  <c r="E29" i="16"/>
  <c r="E14" i="16" l="1"/>
  <c r="E12" i="20"/>
  <c r="E13" i="16" l="1"/>
  <c r="E11" i="20"/>
  <c r="E12" i="16" s="1"/>
  <c r="D118" i="15"/>
  <c r="D118" i="11"/>
  <c r="D118" i="7"/>
  <c r="D118" i="9"/>
</calcChain>
</file>

<file path=xl/sharedStrings.xml><?xml version="1.0" encoding="utf-8"?>
<sst xmlns="http://schemas.openxmlformats.org/spreadsheetml/2006/main" count="4686" uniqueCount="393">
  <si>
    <r>
      <rPr>
        <sz val="10"/>
        <rFont val="Times New Roman"/>
        <family val="1"/>
      </rPr>
      <t xml:space="preserve">JUDEŢUL: </t>
    </r>
    <r>
      <rPr>
        <b/>
        <sz val="10"/>
        <rFont val="Times New Roman"/>
        <family val="1"/>
      </rPr>
      <t>BRASOV</t>
    </r>
  </si>
  <si>
    <t>Instituţia publică: DIRECTIA DE ASISTENŢĂ SOCIALĂ BRAŞOV</t>
  </si>
  <si>
    <t xml:space="preserve">Formular: </t>
  </si>
  <si>
    <t>BUGET PE TITLURI DE CHELTUIELI, ARTICOLE ŞI ALINEATE PE ANUL 2024 ŞI ESTIMĂRI PE ANII 2025-2027</t>
  </si>
  <si>
    <t>CAP. A 68.02. 04 - ASISTENȚĂ ACORDATĂ PERSOANELOR VÂRSTNICE</t>
  </si>
  <si>
    <t>- mii lei -</t>
  </si>
  <si>
    <t>Rand</t>
  </si>
  <si>
    <t>DENUMIRE INDICATOR</t>
  </si>
  <si>
    <t>Cod indicator</t>
  </si>
  <si>
    <t>Realizări 2022</t>
  </si>
  <si>
    <t>Execuţie preliminată 2023</t>
  </si>
  <si>
    <t>Propuneri 2024</t>
  </si>
  <si>
    <t>Total an</t>
  </si>
  <si>
    <t>Estimari</t>
  </si>
  <si>
    <t xml:space="preserve"> I</t>
  </si>
  <si>
    <t xml:space="preserve"> II</t>
  </si>
  <si>
    <t xml:space="preserve"> III</t>
  </si>
  <si>
    <t xml:space="preserve"> IV</t>
  </si>
  <si>
    <t>1</t>
  </si>
  <si>
    <t>TOTAL CHELTUIELI  (SECTIUNEA DE FUNCŢIONARE+SECŢIUNEA DE DEZVOLTARE)</t>
  </si>
  <si>
    <t>SECŢIUNEA DE FUNCŢIONARE (cod 01+79+84)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</si>
  <si>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</si>
  <si>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</si>
  <si>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</si>
  <si>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</si>
  <si>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</si>
  <si>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</si>
  <si>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</si>
  <si>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</si>
  <si>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Sporuri pentru conditii de munca</t>
  </si>
  <si>
    <t>10.01.05</t>
  </si>
  <si>
    <t>Alte sporuri -Spor de handicap</t>
  </si>
  <si>
    <t>10.01.06</t>
  </si>
  <si>
    <t>Fond de premii</t>
  </si>
  <si>
    <t>10.01.08</t>
  </si>
  <si>
    <t>Indemnizatii de vacanţă</t>
  </si>
  <si>
    <t>10.01.09</t>
  </si>
  <si>
    <t>Indemnizatii de hrană</t>
  </si>
  <si>
    <t>10.01.17</t>
  </si>
  <si>
    <t>Alte drepturi salariale in bani</t>
  </si>
  <si>
    <t>10.01.30</t>
  </si>
  <si>
    <t>Cheltuieli salariale în natură</t>
  </si>
  <si>
    <t>10.02</t>
  </si>
  <si>
    <t>Vouchere de vacanţă</t>
  </si>
  <si>
    <t>10.02.06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</si>
  <si>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</si>
  <si>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</si>
  <si>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</si>
  <si>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</si>
  <si>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</si>
  <si>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</si>
  <si>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</si>
  <si>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</si>
  <si>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</si>
  <si>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</si>
  <si>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</si>
  <si>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</si>
  <si>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Contributie asiguratorie pentru muncă</t>
  </si>
  <si>
    <t>10.03.07</t>
  </si>
  <si>
    <t>Contributii plătite de angajator în numele angajatului</t>
  </si>
  <si>
    <t>10.03.08</t>
  </si>
  <si>
    <t>TITLUL II  BUNURI SI SERVICII
(cod 20.01 la 20.06+20.09 la 20.16+20.18 la 20.05+20.27+20.30)</t>
  </si>
  <si>
    <t>Bunuri si servicii   (cod 20.01.01 la 20.01.09+20.01.30)</t>
  </si>
  <si>
    <t>20.01</t>
  </si>
  <si>
    <t>Furnituri de birou</t>
  </si>
  <si>
    <t>20.01.01</t>
  </si>
  <si>
    <t>Furnituri de birou-Departament sănătate</t>
  </si>
  <si>
    <t>Furnituri de birou-Cantina de ajutor social</t>
  </si>
  <si>
    <t>Materiale pentru curatenie</t>
  </si>
  <si>
    <t>20.01.02</t>
  </si>
  <si>
    <t xml:space="preserve">Materiale pentru curatenie </t>
  </si>
  <si>
    <t>Materiale pentru curatenie-Cantina de ajutor social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</si>
  <si>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</si>
  <si>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</si>
  <si>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</si>
  <si>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</si>
  <si>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</si>
  <si>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</si>
  <si>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</si>
  <si>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</si>
  <si>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 xml:space="preserve">Posta, telecomunicatii, radio, tv, internet </t>
  </si>
  <si>
    <t>20.01.08</t>
  </si>
  <si>
    <t>Posta, telecomunicatii, radio, tv, internet taxe postale comision 1%</t>
  </si>
  <si>
    <t xml:space="preserve">Materiale si prestari de servicii cu caracter functional </t>
  </si>
  <si>
    <t>20.01.09</t>
  </si>
  <si>
    <t>Materiale si prestari de servicii cu caracter functional -SAMUI</t>
  </si>
  <si>
    <t>Alte bunuri si servicii pentru întretinere si functionare</t>
  </si>
  <si>
    <t>20.01.30</t>
  </si>
  <si>
    <t>Alte bunuri si servicii pentru întretinere si functionare-administrativ</t>
  </si>
  <si>
    <t>Alte bunuri si servicii pentru întretinere si functionare-aprovizionare</t>
  </si>
  <si>
    <r>
      <rPr>
        <sz val="10"/>
        <rFont val="Times New Roman"/>
        <family val="1"/>
      </rPr>
      <t>Alte bunuri si servicii pt. întret. si funct.-aproviz-</t>
    </r>
    <r>
      <rPr>
        <b/>
        <sz val="10"/>
        <rFont val="Times New Roman"/>
        <family val="1"/>
      </rPr>
      <t>Proiect SARS-CoV-2</t>
    </r>
  </si>
  <si>
    <t xml:space="preserve">Reparatii curente </t>
  </si>
  <si>
    <t>20.02</t>
  </si>
  <si>
    <t>Hrana pentru oameni</t>
  </si>
  <si>
    <t>20.03.01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</si>
  <si>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</si>
  <si>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</si>
  <si>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</si>
  <si>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</si>
  <si>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</si>
  <si>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</si>
  <si>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Dezinfectanti</t>
  </si>
  <si>
    <t>20.04.04</t>
  </si>
  <si>
    <r>
      <rPr>
        <sz val="10"/>
        <rFont val="Times New Roman"/>
        <family val="1"/>
      </rPr>
      <t xml:space="preserve">Dezinfectanti-aprovizionare-                                 </t>
    </r>
    <r>
      <rPr>
        <b/>
        <sz val="10"/>
        <rFont val="Times New Roman"/>
        <family val="1"/>
      </rPr>
      <t>Proiect SARS-CoV-2</t>
    </r>
  </si>
  <si>
    <t>Bunuri de natura ob.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</si>
  <si>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</si>
  <si>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</si>
  <si>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</si>
  <si>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</si>
  <si>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</si>
  <si>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</si>
  <si>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</si>
  <si>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r>
      <rPr>
        <sz val="10"/>
        <rFont val="Times New Roman"/>
        <family val="1"/>
      </rPr>
      <t>Alte obiecte de inventar-aprovizionare                 -</t>
    </r>
    <r>
      <rPr>
        <b/>
        <sz val="10"/>
        <rFont val="Times New Roman"/>
        <family val="1"/>
      </rPr>
      <t>Proiect SARS-CoV-2</t>
    </r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</si>
  <si>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</si>
  <si>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</si>
  <si>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</si>
  <si>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</si>
  <si>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</si>
  <si>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</si>
  <si>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Carti, publicatii si materiale documentare</t>
  </si>
  <si>
    <t>20.11</t>
  </si>
  <si>
    <t>Pregatire profesionala</t>
  </si>
  <si>
    <t>20.13</t>
  </si>
  <si>
    <t>Protectia muncii</t>
  </si>
  <si>
    <t>20.14</t>
  </si>
  <si>
    <t>Studii si cercetari</t>
  </si>
  <si>
    <t>20.16</t>
  </si>
  <si>
    <t>Alte cheltuieli</t>
  </si>
  <si>
    <t>20.30</t>
  </si>
  <si>
    <t>Chirii-Subventionare chirii pt.locuinte sociale Bloc Zizinului nr.144</t>
  </si>
  <si>
    <t>20.30.04</t>
  </si>
  <si>
    <t>Alte cheltuieli cu bunuri si servicii</t>
  </si>
  <si>
    <t>20.30.30</t>
  </si>
  <si>
    <t>Alte cheltuieli cu bunuri si servicii-varsaminte fond handicap</t>
  </si>
  <si>
    <t>Alte cheltuieli cu bun.si serv- supervizare externa resursa umana</t>
  </si>
  <si>
    <t>Alte cheltuieli cu bun.si serv- servicii ID pt.pers. cu dizabilitati</t>
  </si>
  <si>
    <t>Servicii asist.jurid pt.victimele violentei domestice</t>
  </si>
  <si>
    <t>Servicii catering cpfa izolare preventiva</t>
  </si>
  <si>
    <t xml:space="preserve"> Servicii socio medicale CPV</t>
  </si>
  <si>
    <t>0</t>
  </si>
  <si>
    <t xml:space="preserve">TITLUL VI TRANSFERURI INTRE UNITATI ALE ADMINISTRATIEI PUBLICE  (cod 51.01) </t>
  </si>
  <si>
    <t>51 SF</t>
  </si>
  <si>
    <t>Transferuri curente (cod51.01.01+51.01.03+51.01.05+51.01.14+51.01.15
+51.01.24+51.01.26+51.01.31+51.01.39 + 51.01.46+51.01.49)</t>
  </si>
  <si>
    <t>51.01</t>
  </si>
  <si>
    <t>Transferuri catre instituţii publice</t>
  </si>
  <si>
    <t>51.01.01</t>
  </si>
  <si>
    <t>TITLUL VII ALTE TRANSFERURI   (cod 55.01+ 55.02)</t>
  </si>
  <si>
    <t>55 SF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</si>
  <si>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</si>
  <si>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</si>
  <si>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</si>
  <si>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</si>
  <si>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</si>
  <si>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</si>
  <si>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 - Indemnizatii persoane cu handicap</t>
  </si>
  <si>
    <t xml:space="preserve"> - Indemnizatii persoane cu handicap pe perioada CO - AP</t>
  </si>
  <si>
    <t xml:space="preserve">   -Ajutoare pt.incalzirea locuinte beneficiari ai Legii 416/2001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</si>
  <si>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</t>
    </r>
  </si>
  <si>
    <t xml:space="preserve">  -Ajutor deces functionar public</t>
  </si>
  <si>
    <t xml:space="preserve">  - Alte cheltuieli privind ajutorul social(aj.de urgenta si inmormantare)</t>
  </si>
  <si>
    <t xml:space="preserve">   -Prestaţii financiare  excepţionale spscf</t>
  </si>
  <si>
    <t xml:space="preserve">   -Prestaţii fin. excepţ.-Violenta domest.(certif med.legale+asist.med.)</t>
  </si>
  <si>
    <t xml:space="preserve">  -Ajutoare sociale pt.plata chiriei</t>
  </si>
  <si>
    <t xml:space="preserve">  -Ajutor financiar acordat familiilor pt.plata serviciilor oferite de bone</t>
  </si>
  <si>
    <t xml:space="preserve">  -Ajutor financiar  pt.serv.educat.anteprescolare crese si bunici</t>
  </si>
  <si>
    <t xml:space="preserve"> Ajutoare sociale in natura</t>
  </si>
  <si>
    <t>57.02.02</t>
  </si>
  <si>
    <t xml:space="preserve">   -Abonamente R.A.T.</t>
  </si>
  <si>
    <t xml:space="preserve">   -Program "Primul ghiozdan"</t>
  </si>
  <si>
    <t xml:space="preserve">   -Program "Pachet pentru suflet"</t>
  </si>
  <si>
    <t xml:space="preserve">  -Trusou nou-nascuti</t>
  </si>
  <si>
    <t>TITLUL X ALTE CHELTUIELI (cod 59.01 + 59.02 + 59.08 +59.11 +59.12 +59.15 +59.17 +59.22 +59.25 +59.30)</t>
  </si>
  <si>
    <t>59</t>
  </si>
  <si>
    <t>59.11</t>
  </si>
  <si>
    <t>Subventii Asociatii si fundatii, Legea 34/1998</t>
  </si>
  <si>
    <t>Finantare nerambursabila proiecte ONG-uri, Legea 350/2005</t>
  </si>
  <si>
    <t>Sume aferente persoanelor cu handicap neîncadrate</t>
  </si>
  <si>
    <t>59.40</t>
  </si>
  <si>
    <t>Indemnizatii acordate parintilor pt.supravegherea copiilor pe per.inchiderii temporare a unitatilor de invatamant</t>
  </si>
  <si>
    <t>59.42</t>
  </si>
  <si>
    <t>SECŢIUNEA DE DEZVOLTARE (cod 51+55+56+70+79+84)</t>
  </si>
  <si>
    <t xml:space="preserve">TITLUL VI TRANSFERURI INTRE UNITATI ALE ADMINISTRATIEI PUBLICE  (cod 51.02) </t>
  </si>
  <si>
    <t>51</t>
  </si>
  <si>
    <t>Transferuri de capital  (cod 51.02.12+51.02.28+51.02.29)</t>
  </si>
  <si>
    <t>51.02</t>
  </si>
  <si>
    <t>Alte transferuri de capital catre institutii publice</t>
  </si>
  <si>
    <t>51.02.29</t>
  </si>
  <si>
    <t>Titlul X-Proiecte cu finantare FEN afer.cadrului financiar 2014-2020</t>
  </si>
  <si>
    <t>58</t>
  </si>
  <si>
    <t>Programe din Fd.European de Dezv.Region.(FEDR)</t>
  </si>
  <si>
    <t>58.01</t>
  </si>
  <si>
    <t>Finantare externa nerambursabila</t>
  </si>
  <si>
    <t>58.01.01</t>
  </si>
  <si>
    <t>Programe din Fondul Social European FSE</t>
  </si>
  <si>
    <t>58.02</t>
  </si>
  <si>
    <t>Finantare nationala</t>
  </si>
  <si>
    <t>58.02.01</t>
  </si>
  <si>
    <t>58.02.02</t>
  </si>
  <si>
    <t>Titlul XII Proiecte cu finantare din sumele repr. Asistenta Financiara</t>
  </si>
  <si>
    <t>60</t>
  </si>
  <si>
    <t>Fonduri Europene Nerambursabile</t>
  </si>
  <si>
    <t>60.01</t>
  </si>
  <si>
    <t>Finantare Nationala</t>
  </si>
  <si>
    <t>60.02</t>
  </si>
  <si>
    <t>Sume aferente TVA</t>
  </si>
  <si>
    <t>60.03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</si>
  <si>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</si>
  <si>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</si>
  <si>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</si>
  <si>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</si>
  <si>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</si>
  <si>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</si>
  <si>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</si>
  <si>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</si>
  <si>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</si>
  <si>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r>
      <rPr>
        <sz val="10"/>
        <rFont val="Times New Roman"/>
        <family val="1"/>
      </rPr>
      <t>Maşini, echipamente si mijloace de transport</t>
    </r>
    <r>
      <rPr>
        <b/>
        <sz val="10"/>
        <rFont val="Times New Roman"/>
        <family val="1"/>
      </rPr>
      <t>-Proiect SARS-CoV-2</t>
    </r>
  </si>
  <si>
    <t>Mobilier, aparatură birotică şi alte active corporale</t>
  </si>
  <si>
    <t>71.01.03</t>
  </si>
  <si>
    <t xml:space="preserve">Alte active fixe </t>
  </si>
  <si>
    <t>71.01.30</t>
  </si>
  <si>
    <t xml:space="preserve">         ORDONATOR DE CREDITE </t>
  </si>
  <si>
    <t xml:space="preserve">                 DIRECTOR GENERAL</t>
  </si>
  <si>
    <t>DIRECTOR GENERAL ADJUNCT</t>
  </si>
  <si>
    <t>SEF SERVICIU C.F.B.</t>
  </si>
  <si>
    <t>ELABORAT</t>
  </si>
  <si>
    <t xml:space="preserve">            TOPOLICEANU MARIANA</t>
  </si>
  <si>
    <t>CRĂCIUN LUANA MĂDĂLINA</t>
  </si>
  <si>
    <t>ŞANDRU ANA SIMONA</t>
  </si>
  <si>
    <t>CONSILIER SUPERIOR</t>
  </si>
  <si>
    <t>PAL DIANA MIHAELA</t>
  </si>
  <si>
    <t>Stimulent de risc</t>
  </si>
  <si>
    <t>10.01.29</t>
  </si>
  <si>
    <t>Materiale si prestari de servicii cu caracter functional</t>
  </si>
  <si>
    <t>Alte bunuri si servicii pt. întretinere si function.-Cantina de ajutor soc.</t>
  </si>
  <si>
    <r>
      <rPr>
        <sz val="10"/>
        <rFont val="Times New Roman"/>
        <family val="1"/>
      </rPr>
      <t>Dezinfectanti-aprovizionare-</t>
    </r>
    <r>
      <rPr>
        <b/>
        <sz val="10"/>
        <rFont val="Times New Roman"/>
        <family val="1"/>
      </rPr>
      <t>Proiect SARS-CoV-2</t>
    </r>
  </si>
  <si>
    <t>Alte obiecte de inventar-aprovizionare-Proiect SARS-CoV-2</t>
  </si>
  <si>
    <t>Alte cheltuieli cu bunuri si servicii-contractare ingrijire pers cu dizab</t>
  </si>
  <si>
    <t xml:space="preserve">Alte cheltuieli cu bunuri si serviciia-servicii paza </t>
  </si>
  <si>
    <t>Alte cheltuieli cu bun.si serv.socio-medicale</t>
  </si>
  <si>
    <t>Servicii juridice =9 si servicii notariale=6</t>
  </si>
  <si>
    <t xml:space="preserve">  - Indemnizatii persoane cu dizabilități</t>
  </si>
  <si>
    <t>conform suma formular finante</t>
  </si>
  <si>
    <t xml:space="preserve"> - Indemnizatii persoane cu dizabilităși pe perioada CO+ CM /AP</t>
  </si>
  <si>
    <t>CAP. A 68.02.06 - ASISTENȚĂ SOCIALĂ PENTRU FAMILIE ŞI COPII</t>
  </si>
  <si>
    <t xml:space="preserve">Alte cheltuieli cu bunuri si servicii -servicii paza </t>
  </si>
  <si>
    <t>Alte cheltuieli cu bun.si serv- contractare servicii violenta domestică</t>
  </si>
  <si>
    <t>Centru de zi Astra</t>
  </si>
  <si>
    <t>Hrana pentru oameni:</t>
  </si>
  <si>
    <t>Centre violență domestică</t>
  </si>
  <si>
    <t>Alte cheltuieli cu bun.si serv- servicii contractare serv cons victime VD</t>
  </si>
  <si>
    <t>Serv asist.jur +psiho. pt.victim. violentei dom-centru asistenta agresori</t>
  </si>
  <si>
    <t>Centre UNICEF - Carierei + Centrul comunitar integrat</t>
  </si>
  <si>
    <t>CAP. A 68.12 - UNITĂŢI DE ASISTENŢĂ MEDICO-SOCIALĂ</t>
  </si>
  <si>
    <t>Centrul de servicii sociale de recuperare neuromotorie de tip ambulatoriu SFÂNTUL NICOLAE</t>
  </si>
  <si>
    <t xml:space="preserve">Alte cheltuieli cu bunuri si servicii- servicii paza </t>
  </si>
  <si>
    <t>CAP. A 68.12.02 - UNITĂŢI DE ASISTENŢĂ MEDICO-SOCIALĂ</t>
  </si>
  <si>
    <t>Centrul de recuperare medicala</t>
  </si>
  <si>
    <r>
      <rPr>
        <sz val="10"/>
        <rFont val="Times New Roman"/>
        <family val="1"/>
      </rPr>
      <t xml:space="preserve">Instituţia publică: </t>
    </r>
    <r>
      <rPr>
        <b/>
        <sz val="10"/>
        <rFont val="Times New Roman"/>
        <family val="1"/>
      </rPr>
      <t>DIRECTIA DE ASISTENŢĂ SOCIALĂ BRAŞOV</t>
    </r>
  </si>
  <si>
    <t>CAP. A 68.02.15.01 -PREVENIREA EXCLUDERII SOCIALE</t>
  </si>
  <si>
    <t xml:space="preserve">                                                                             AJUTOARE PENTRU ÎNCĂLZIREA LOCUINŢEI</t>
  </si>
  <si>
    <t xml:space="preserve">Alte cheltuieli cu bunuri si servicii-servicii paza </t>
  </si>
  <si>
    <t>finantare din cote tva 9 mii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</si>
  <si>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Lg. 226/2021</t>
    </r>
  </si>
  <si>
    <t>CAP. A 68.02.15.02 -PREVENIREA EXCLUDERII SOCIALE</t>
  </si>
  <si>
    <t xml:space="preserve">                                                                               CANTINA DE AJUTOR SOCIAL</t>
  </si>
  <si>
    <t>Alte cheltuieli cu bunuri si servicii-contractare servicii C.Aj.S.</t>
  </si>
  <si>
    <t>CAP. A 68.50.50 -ALTE CHELTUIELI ÎN DOMENIUL ASIGURĂRILOR ŞI ASISTENŢEI SOCIALE</t>
  </si>
  <si>
    <t>REST DAS +CPMSPFA</t>
  </si>
  <si>
    <t>Alte cheltuieli cu bunuri si servicii-</t>
  </si>
  <si>
    <t>Alte cheltuieli cu bunuri si servicii.-serv paza+monit.sist. alarma  +serv curatenie</t>
  </si>
  <si>
    <t xml:space="preserve"> - Indemnizatie ingrijitor informal</t>
  </si>
  <si>
    <t>Programe din Fd.Social European FSE - Finantare nationala</t>
  </si>
  <si>
    <t>58.01.02</t>
  </si>
  <si>
    <t>Programe din Fondul Social European FSE - Digitalizare</t>
  </si>
  <si>
    <t>CAP. A 68.50.50.01 -ALTE CHELTUIELI ÎN DOMENIUL ASIGURĂRILOR ŞI ASISTENŢEI SOCIALE</t>
  </si>
  <si>
    <t xml:space="preserve">REST DAS </t>
  </si>
  <si>
    <t xml:space="preserve"> </t>
  </si>
  <si>
    <t>Medicamente SAMUI</t>
  </si>
  <si>
    <t xml:space="preserve">Protectia muncii </t>
  </si>
  <si>
    <t>CAP. A 68.50.50.02 -ALTE CHELTUIELI ÎN DOMENIUL ASIGURĂRILOR ŞI ASISTENŢEI SOCIALE</t>
  </si>
  <si>
    <t>CENTRE DE SERVICII PENTRU PERSOANE FĂRĂ ADĂPOST</t>
  </si>
  <si>
    <t>Salarii de baza dc IP=99</t>
  </si>
  <si>
    <t>Sporuri pentru conditii de munca dc IP=53</t>
  </si>
  <si>
    <t>Alte sporuri -Spor de handicap dc IP=4</t>
  </si>
  <si>
    <t>Indemnizatii de vacanţă dc IP=10</t>
  </si>
  <si>
    <t xml:space="preserve">Indemnizatii de hrană </t>
  </si>
  <si>
    <t xml:space="preserve">Contributie asiguratorie pentru muncă </t>
  </si>
  <si>
    <r>
      <rPr>
        <sz val="10"/>
        <rFont val="Times New Roman"/>
        <family val="1"/>
      </rPr>
      <t xml:space="preserve">Dezinfectanti-aprovizionare-                                    </t>
    </r>
    <r>
      <rPr>
        <b/>
        <sz val="10"/>
        <rFont val="Times New Roman"/>
        <family val="1"/>
      </rPr>
      <t>Proiect SARS-CoV-2</t>
    </r>
  </si>
  <si>
    <r>
      <rPr>
        <sz val="10"/>
        <rFont val="Times New Roman"/>
        <family val="1"/>
      </rPr>
      <t xml:space="preserve">Alte obiecte de inventar-aprovizionare-                </t>
    </r>
    <r>
      <rPr>
        <b/>
        <sz val="10"/>
        <rFont val="Times New Roman"/>
        <family val="1"/>
      </rPr>
      <t>Proiect SARS-CoV-2</t>
    </r>
  </si>
  <si>
    <t>Aprobat</t>
  </si>
  <si>
    <t xml:space="preserve"> Ordonator principal de credite</t>
  </si>
  <si>
    <t>CAP. A 68.02 - ASIGURĂRI ŞI ASISTENŢĂ SOCIALĂ</t>
  </si>
  <si>
    <t>Comision 1% indemnizatii handicap</t>
  </si>
  <si>
    <t>Alte bunuri si servicii pt. întret.si funct.-aproviz.-Proiect SARS-CoV-2</t>
  </si>
  <si>
    <t xml:space="preserve">Alte obiecte de inventar </t>
  </si>
  <si>
    <t>Servicii juridice si servicii notariale</t>
  </si>
  <si>
    <t xml:space="preserve"> - Indemnizatii persoane cu handicap pe perioada CO +CM/ AP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</si>
  <si>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O.U.70/2011, Lg. 226/2021</t>
    </r>
  </si>
  <si>
    <t>Programe din Fondul Social European FSE-Digitalizare</t>
  </si>
  <si>
    <t>CAP. 66 - SERVICII DE SĂNĂTATE PUBLICĂ TOTAL</t>
  </si>
  <si>
    <t>ASISTENTA MEDICALA IN UNITATI DE INVATAMANT - 66.08</t>
  </si>
  <si>
    <t>ASISTENŢĂ MEDICALĂ COMUNITARĂ - 66.08</t>
  </si>
  <si>
    <t>mii lei</t>
  </si>
  <si>
    <t xml:space="preserve">Salarii de baza </t>
  </si>
  <si>
    <t xml:space="preserve">Sporuri pentru conditii de munca </t>
  </si>
  <si>
    <t xml:space="preserve">Fond de premii </t>
  </si>
  <si>
    <t xml:space="preserve">Indemnizatii de detasare </t>
  </si>
  <si>
    <t>10.01.14</t>
  </si>
  <si>
    <t>Stimulentul de risc</t>
  </si>
  <si>
    <t>Hrana  (cod 20.03.01+20.03.02)</t>
  </si>
  <si>
    <t>20.03</t>
  </si>
  <si>
    <t>Bunuri de natura obiectelor de inventar  (cod 20.05.01+20.05.03+20.05.30)</t>
  </si>
  <si>
    <t>Alte cheltuieli(cod 20.30.01la20.30.04+20.30.06+20.30.07+20.30.09+20.30.30)</t>
  </si>
  <si>
    <t>Alte cheltuieli cu bunuri si servicii-varsaminte fond persoane cu handicap</t>
  </si>
  <si>
    <t xml:space="preserve">   -Prestaţii excepţionale</t>
  </si>
  <si>
    <t>Asociatii si fundatii</t>
  </si>
  <si>
    <t>CAP. 66.08 - SERVICII DE SĂNĂTATE PUBLICĂ CUMULAT</t>
  </si>
  <si>
    <t>ASISTENTA MEDICALA IN UNITATI DE INVATAMANT + ASITENTA MEDICALA COMUNITARĂ</t>
  </si>
  <si>
    <t>TITLUL I  CHELTUIELI DE PERSONAL (cod 10.01+10.02+10.03) din care PM=5593.5, AM=80</t>
  </si>
  <si>
    <r>
      <rPr>
        <sz val="10"/>
        <rFont val="Times New Roman"/>
        <family val="1"/>
      </rPr>
      <t>Salarii de baza</t>
    </r>
    <r>
      <rPr>
        <b/>
        <sz val="10"/>
        <rFont val="Times New Roman"/>
        <family val="1"/>
      </rPr>
      <t xml:space="preserve"> </t>
    </r>
  </si>
  <si>
    <t xml:space="preserve">Alte sporuri -Spor de handicap </t>
  </si>
  <si>
    <t xml:space="preserve">Indemnizatii de vacanţă </t>
  </si>
  <si>
    <t>Cheltuieli salariale in natura  (cod 10.02.01 la 10.02.06+10.02.30)</t>
  </si>
  <si>
    <t>CAP. 66.08 - SERVICII DE SĂNĂTATE PUBLICĂ</t>
  </si>
  <si>
    <t xml:space="preserve">ASISTENTA MEDICALA IN UNITATI DE INVATAMANT </t>
  </si>
  <si>
    <t xml:space="preserve">                                                                                                      ASISTENŢĂ MEDICALĂ COMUNITARĂ</t>
  </si>
  <si>
    <r>
      <rPr>
        <sz val="10"/>
        <rFont val="Times New Roman"/>
        <family val="1"/>
      </rPr>
      <t>Indemnizatii de hrană</t>
    </r>
    <r>
      <rPr>
        <b/>
        <sz val="10"/>
        <rFont val="Times New Roman"/>
        <family val="1"/>
      </rPr>
      <t xml:space="preserve"> </t>
    </r>
  </si>
  <si>
    <t>CAP. 66.50.50 - SERVICII DE SĂNĂTATE PUBLICĂ</t>
  </si>
  <si>
    <t xml:space="preserve">                                                                       CENTRUL DE RECUPERARE MEDICALA</t>
  </si>
  <si>
    <t>Indemnizatii de detasare PM</t>
  </si>
  <si>
    <r>
      <rPr>
        <sz val="10"/>
        <rFont val="Times New Roman"/>
        <family val="1"/>
      </rPr>
      <t>Contributie asiguratorie pentru muncă</t>
    </r>
    <r>
      <rPr>
        <b/>
        <sz val="10"/>
        <rFont val="Times New Roman"/>
        <family val="1"/>
      </rPr>
      <t xml:space="preserve"> (PM=152, AC=3 )</t>
    </r>
  </si>
  <si>
    <t>Alte obiecte de inventar din care 170 samui</t>
  </si>
  <si>
    <t>BUGET PE TITLURI DE CHELTUIELI, ARTICOLE ŞI ALINEATE PE ANUL 2025 ŞI ESTIMĂRI PE ANII 2026-2028</t>
  </si>
  <si>
    <t>Indemnizatii plătite unor persoane din afara unității</t>
  </si>
  <si>
    <t>10.01.12</t>
  </si>
  <si>
    <t xml:space="preserve">  - Alte cheltuieli aj social(urg, inmormantare, aj incendiu Carierei 70)</t>
  </si>
  <si>
    <t>Alte cheltuieli cu bun.si serv.analize medicale</t>
  </si>
  <si>
    <t>Alte cheltuieli cu bun.si serv- supervizare externa res umana(19+15)</t>
  </si>
  <si>
    <t xml:space="preserve"> Servicii (excursii și tabere 15 mii, activități recreative 24 mii)</t>
  </si>
  <si>
    <t xml:space="preserve">  - Alte chel privind aj. social(urg, inmormantare, aj.incendiu Carierei 70)</t>
  </si>
  <si>
    <t>Servicii de recuperare medicala Kinetoterapie</t>
  </si>
  <si>
    <t>Servicii de evaluare medicala de recuperare</t>
  </si>
  <si>
    <t>Alte cheltuieli cu bun.si serv(SJPRMD:distr.arh, sv aud.ISO, c.el, s.jur)</t>
  </si>
  <si>
    <t>Alte cheltuieli cu bun.si serv- serv. Ingrijitor si infirmiere CPV</t>
  </si>
  <si>
    <t xml:space="preserve"> Servicii analize medicale CPV</t>
  </si>
  <si>
    <t xml:space="preserve">Alte cheltuieli cu bunuri si servicii- -servicii paza </t>
  </si>
  <si>
    <t xml:space="preserve">Alte cheltuieli cu bunuri si servicii  -servicii paza </t>
  </si>
  <si>
    <t>Alte chelt cu bun.si serv</t>
  </si>
  <si>
    <t>Alte cheltuieli cu bun.si serv- superviz ext RU</t>
  </si>
  <si>
    <t>Alte cheltuieli cu bun.si serv</t>
  </si>
  <si>
    <t xml:space="preserve"> Servicii catering</t>
  </si>
  <si>
    <t xml:space="preserve"> Servicii asist.jurid +psihologica pt.victimele violentei domestice</t>
  </si>
  <si>
    <t>Alte cheltuieli cu bun.si serv supervizare externa resursa umana</t>
  </si>
  <si>
    <t xml:space="preserve"> Servicii catering hrană copii</t>
  </si>
  <si>
    <t xml:space="preserve">  Servicii (excursii și tabere 15 mii, activități recreative 24 mii)</t>
  </si>
  <si>
    <t xml:space="preserve">Alte cheltuieli cu bunuri si servicii </t>
  </si>
  <si>
    <t xml:space="preserve">Alte cheltuieli cu bunuri si servicii--servicii paza </t>
  </si>
  <si>
    <t xml:space="preserve">Alte cheltuieli cu bunuri si servicii - servicii paza </t>
  </si>
  <si>
    <t>Alte cheltuieli cu bunuri si servicii -serv paza+monit.sist.alarma+serv curatenie</t>
  </si>
  <si>
    <t>Alte chelt cu bunuri si servicii (SJPRMD:distr.arh, serv audit.ISO, cert.el, s.jur)</t>
  </si>
  <si>
    <t>Alte cheltuieli cu bun.si serv - supervizare externa resursa umana</t>
  </si>
  <si>
    <t>Prestari servicii de recuperare medicala</t>
  </si>
  <si>
    <t>Servicii notariale 3 mii</t>
  </si>
  <si>
    <t>Alte cheltuieli cu bunuri si servicii (serv. Ingrijitor si infirmiere CPV+SJPRMD:distr.arh, serv audit.ISO, cert.el, s.jur DAS)</t>
  </si>
  <si>
    <t>Alte cheltuieli cu bun.si serv.supervizare externa resursa umana</t>
  </si>
  <si>
    <t>Alte cheltuieli cu bun.si serv- serv.supervizare externa resursa umana(Astra+C.Violenta+C.C.I.+DAS)</t>
  </si>
  <si>
    <t>Serv rec.med Kineto(CPV)+eval med recup(Sf.Nic)+Servicii notariale (3 mii DAS)</t>
  </si>
  <si>
    <t>Servicii catering Astra+C.C.I</t>
  </si>
  <si>
    <t>Servicii catering (Astra+C.C.I.)</t>
  </si>
  <si>
    <t>Alte cheltuieli cu bun.si serv ( Astra -excursii și tabere 15 mii, activități recreative 24 mii, CPV- serv.analize medicale 2 mii)</t>
  </si>
  <si>
    <t xml:space="preserve">Alte cheltuieli cu bun.si serv </t>
  </si>
  <si>
    <t xml:space="preserve">   -Program "Dar din suflet pentru seniori"</t>
  </si>
  <si>
    <t>CAP. A 68.02.05.02 - ASISTENȚĂ SOCIALĂ ÎN CAZ DE INVALIDITATE</t>
  </si>
  <si>
    <t>CAP. A 68.02.05.02 -  ASISTENȚĂ SOCIALĂ ÎN CAZ DE INVALIDITATE</t>
  </si>
  <si>
    <t>CAP. A 68.02.05 - ASISTENȚĂ SOCIALĂ ÎN CAZ DE BOLI ȘI INVALIDITĂȚI</t>
  </si>
  <si>
    <t xml:space="preserve"> Asistență socială în caz de invaliditate + Centrul de servicii sociale de recuperare neuromotorie de tip ambulatoriu SFÂNTUL NICOLAE</t>
  </si>
  <si>
    <t>Servicii juridice  si servicii notariale</t>
  </si>
  <si>
    <t>Alte chelt. cu bunuri si serv. -serv. paza ,monit.sistem alarma+serv.meniuri nutritionist</t>
  </si>
  <si>
    <t>Alte chel cu bun.si serv(serv as.Hospice 160 mii, serv.KT Mitropolie 2.400 mii, serv.rec.cam.senzoriala 160 mii, serv cam.antidrog 120 mii, org.evenim 50 mii)</t>
  </si>
  <si>
    <t>Credite de angajament</t>
  </si>
  <si>
    <t>Prevederi anuale</t>
  </si>
  <si>
    <t xml:space="preserve">Credite de angajament </t>
  </si>
  <si>
    <r>
      <rPr>
        <b/>
        <sz val="10"/>
        <rFont val="Times New Roman"/>
        <family val="1"/>
      </rPr>
      <t>Dezinfectanti-aprovizionare-Proiect SARS-CoV-2</t>
    </r>
  </si>
  <si>
    <t xml:space="preserve">Materiale sanitare </t>
  </si>
  <si>
    <t xml:space="preserve">Dezinfectanti </t>
  </si>
  <si>
    <t xml:space="preserve">               DIRECTOR GENERAL</t>
  </si>
  <si>
    <t xml:space="preserve">                DIRECTOR GENERAL</t>
  </si>
  <si>
    <t>Buget rectificat Iulie 2025 aprobat prin HCL nr. 527/30.07.2025 și D.P. nr.1755/31.07.2025</t>
  </si>
  <si>
    <t>INSPECTOR SUPERIOR</t>
  </si>
  <si>
    <t>BARBU CSILLA-XENIA</t>
  </si>
  <si>
    <t>P. SEF SERVICIU C.F.B.</t>
  </si>
  <si>
    <t xml:space="preserve">          DIRECTOR GENERAL</t>
  </si>
  <si>
    <t xml:space="preserve">BIGHIU ROXANA AURORA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</si>
</sst>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409]m/d/yyyy"/>
    <numFmt numFmtId="179" formatCode="_(* #,##0.00_);_(* \(#,##0.00\);_(* \-??_);_(@_)"/>
  </numFmts>
  <fonts count="17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10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30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3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thin">
        <color indexed="8"/>
      </bottom>
      <diagonal/>
    </border>
    <border>
      <left style="thin">
        <color indexed="63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8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/>
      <top style="thin">
        <color indexed="63"/>
      </top>
      <bottom style="medium">
        <color indexed="8"/>
      </bottom>
      <diagonal/>
    </border>
    <border>
      <left style="medium">
        <color indexed="8"/>
      </left>
      <right/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3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/>
      <bottom style="thin">
        <color indexed="63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medium">
        <color indexed="8"/>
      </top>
      <bottom style="thin">
        <color indexed="63"/>
      </bottom>
      <diagonal/>
    </border>
    <border>
      <left style="medium">
        <color indexed="8"/>
      </left>
      <right/>
      <top/>
      <bottom/>
      <diagonal/>
    </border>
    <border>
      <left style="thin">
        <color indexed="63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3"/>
      </top>
      <bottom style="medium">
        <color indexed="8"/>
      </bottom>
      <diagonal/>
    </border>
    <border>
      <left/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3"/>
      </bottom>
      <diagonal/>
    </border>
    <border>
      <left style="thin">
        <color indexed="8"/>
      </left>
      <right/>
      <top style="medium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8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8"/>
      </top>
      <bottom style="thin">
        <color indexed="63"/>
      </bottom>
      <diagonal/>
    </border>
    <border>
      <left/>
      <right/>
      <top style="medium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64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4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3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3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8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 applyFill="0" applyBorder="0" applyAlignment="0" applyProtection="0"/>
  </cellStyleXfs>
  <cellXfs count="1205">
    <xf numFmtId="0" fontId="0" fillId="0" borderId="0" xfId="0"/>
    <xf numFmtId="0" fontId="0" fillId="0" borderId="0" xfId="4" applyFont="1" applyFill="1"/>
    <xf numFmtId="1" fontId="0" fillId="0" borderId="0" xfId="4" applyNumberFormat="1" applyFont="1" applyFill="1"/>
    <xf numFmtId="0" fontId="1" fillId="0" borderId="0" xfId="2" applyFont="1" applyFill="1"/>
    <xf numFmtId="0" fontId="1" fillId="0" borderId="0" xfId="4" applyFont="1" applyFill="1"/>
    <xf numFmtId="0" fontId="1" fillId="0" borderId="0" xfId="2" applyFont="1" applyFill="1" applyAlignment="1">
      <alignment horizontal="left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0" fillId="0" borderId="0" xfId="4" applyFont="1" applyFill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4" applyNumberFormat="1" applyFont="1" applyFill="1" applyAlignment="1">
      <alignment horizontal="center"/>
    </xf>
    <xf numFmtId="1" fontId="3" fillId="0" borderId="0" xfId="4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4" applyFont="1" applyFill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center"/>
    </xf>
    <xf numFmtId="1" fontId="2" fillId="0" borderId="7" xfId="3" applyNumberFormat="1" applyFont="1" applyFill="1" applyBorder="1" applyAlignment="1">
      <alignment horizontal="center" vertical="center" wrapText="1"/>
    </xf>
    <xf numFmtId="0" fontId="14" fillId="0" borderId="8" xfId="1" applyBorder="1"/>
    <xf numFmtId="1" fontId="3" fillId="0" borderId="9" xfId="1" applyNumberFormat="1" applyFont="1" applyBorder="1" applyAlignment="1">
      <alignment horizontal="center" vertical="center"/>
    </xf>
    <xf numFmtId="1" fontId="2" fillId="0" borderId="10" xfId="3" applyNumberFormat="1" applyFont="1" applyFill="1" applyBorder="1" applyAlignment="1">
      <alignment horizontal="center" vertical="center" wrapText="1"/>
    </xf>
    <xf numFmtId="1" fontId="2" fillId="0" borderId="11" xfId="3" applyNumberFormat="1" applyFont="1" applyFill="1" applyBorder="1" applyAlignment="1">
      <alignment horizontal="center" vertical="center" wrapText="1"/>
    </xf>
    <xf numFmtId="1" fontId="2" fillId="0" borderId="12" xfId="3" applyNumberFormat="1" applyFont="1" applyFill="1" applyBorder="1" applyAlignment="1">
      <alignment horizontal="center" vertical="center" wrapText="1"/>
    </xf>
    <xf numFmtId="1" fontId="1" fillId="3" borderId="13" xfId="3" applyNumberFormat="1" applyFont="1" applyFill="1" applyBorder="1" applyAlignment="1">
      <alignment horizontal="center" vertical="center" wrapText="1"/>
    </xf>
    <xf numFmtId="1" fontId="2" fillId="3" borderId="14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horizontal="center" vertical="center" wrapText="1"/>
    </xf>
    <xf numFmtId="1" fontId="2" fillId="3" borderId="16" xfId="3" applyNumberFormat="1" applyFont="1" applyFill="1" applyBorder="1" applyAlignment="1">
      <alignment horizontal="center" vertical="center" wrapText="1"/>
    </xf>
    <xf numFmtId="1" fontId="2" fillId="3" borderId="17" xfId="3" applyNumberFormat="1" applyFont="1" applyFill="1" applyBorder="1" applyAlignment="1">
      <alignment horizontal="center" vertical="center" wrapText="1"/>
    </xf>
    <xf numFmtId="1" fontId="2" fillId="3" borderId="18" xfId="3" applyNumberFormat="1" applyFont="1" applyFill="1" applyBorder="1" applyAlignment="1">
      <alignment horizontal="center" vertical="center" wrapText="1"/>
    </xf>
    <xf numFmtId="1" fontId="2" fillId="0" borderId="3" xfId="3" applyNumberFormat="1" applyFont="1" applyFill="1" applyBorder="1" applyAlignment="1">
      <alignment horizontal="center" vertical="center" wrapText="1"/>
    </xf>
    <xf numFmtId="1" fontId="2" fillId="0" borderId="19" xfId="3" applyNumberFormat="1" applyFont="1" applyFill="1" applyBorder="1" applyAlignment="1">
      <alignment horizontal="center" vertical="center" wrapText="1"/>
    </xf>
    <xf numFmtId="1" fontId="2" fillId="0" borderId="20" xfId="3" applyNumberFormat="1" applyFont="1" applyFill="1" applyBorder="1" applyAlignment="1">
      <alignment horizontal="center" vertical="center" wrapText="1"/>
    </xf>
    <xf numFmtId="1" fontId="2" fillId="0" borderId="21" xfId="3" applyNumberFormat="1" applyFont="1" applyFill="1" applyBorder="1" applyAlignment="1">
      <alignment horizontal="center" vertical="center" wrapText="1"/>
    </xf>
    <xf numFmtId="1" fontId="1" fillId="0" borderId="13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left" vertical="top"/>
    </xf>
    <xf numFmtId="1" fontId="2" fillId="0" borderId="16" xfId="1" applyNumberFormat="1" applyFont="1" applyFill="1" applyBorder="1" applyAlignment="1">
      <alignment horizontal="center" vertical="center"/>
    </xf>
    <xf numFmtId="1" fontId="2" fillId="0" borderId="16" xfId="3" applyNumberFormat="1" applyFont="1" applyFill="1" applyBorder="1" applyAlignment="1">
      <alignment horizontal="center" vertical="center" wrapText="1"/>
    </xf>
    <xf numFmtId="1" fontId="2" fillId="0" borderId="17" xfId="3" applyNumberFormat="1" applyFont="1" applyFill="1" applyBorder="1" applyAlignment="1">
      <alignment horizontal="center" vertical="center" wrapText="1"/>
    </xf>
    <xf numFmtId="1" fontId="1" fillId="0" borderId="13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/>
    <xf numFmtId="49" fontId="1" fillId="0" borderId="1" xfId="1" applyNumberFormat="1" applyFont="1" applyFill="1" applyBorder="1" applyAlignment="1">
      <alignment horizontal="right"/>
    </xf>
    <xf numFmtId="1" fontId="1" fillId="0" borderId="23" xfId="1" applyNumberFormat="1" applyFont="1" applyFill="1" applyBorder="1" applyAlignment="1">
      <alignment horizontal="center" vertical="center"/>
    </xf>
    <xf numFmtId="1" fontId="2" fillId="0" borderId="23" xfId="3" applyNumberFormat="1" applyFont="1" applyFill="1" applyBorder="1" applyAlignment="1">
      <alignment horizontal="center" vertical="center" wrapText="1"/>
    </xf>
    <xf numFmtId="1" fontId="1" fillId="0" borderId="23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horizontal="center" vertical="center" wrapText="1"/>
    </xf>
    <xf numFmtId="1" fontId="1" fillId="0" borderId="25" xfId="3" applyNumberFormat="1" applyFont="1" applyFill="1" applyBorder="1" applyAlignment="1">
      <alignment horizontal="center" vertical="center" wrapText="1"/>
    </xf>
    <xf numFmtId="1" fontId="1" fillId="0" borderId="26" xfId="1" applyNumberFormat="1" applyFont="1" applyFill="1" applyBorder="1" applyAlignment="1">
      <alignment horizontal="center"/>
    </xf>
    <xf numFmtId="3" fontId="1" fillId="0" borderId="0" xfId="4" applyNumberFormat="1" applyFont="1" applyFill="1"/>
    <xf numFmtId="0" fontId="1" fillId="0" borderId="0" xfId="4" applyFont="1" applyFill="1" applyAlignment="1">
      <alignment horizontal="center"/>
    </xf>
    <xf numFmtId="1" fontId="1" fillId="0" borderId="0" xfId="4" applyNumberFormat="1" applyFont="1" applyFill="1" applyAlignment="1">
      <alignment horizontal="center" vertical="center"/>
    </xf>
    <xf numFmtId="1" fontId="1" fillId="0" borderId="0" xfId="4" applyNumberFormat="1" applyFont="1" applyFill="1"/>
    <xf numFmtId="49" fontId="2" fillId="0" borderId="1" xfId="1" applyNumberFormat="1" applyFont="1" applyFill="1" applyBorder="1" applyAlignment="1">
      <alignment horizontal="center"/>
    </xf>
    <xf numFmtId="1" fontId="2" fillId="0" borderId="23" xfId="1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/>
    </xf>
    <xf numFmtId="49" fontId="2" fillId="0" borderId="22" xfId="1" applyNumberFormat="1" applyFont="1" applyFill="1" applyBorder="1" applyAlignment="1">
      <alignment horizontal="left" vertical="top"/>
    </xf>
    <xf numFmtId="49" fontId="2" fillId="0" borderId="1" xfId="1" applyNumberFormat="1" applyFont="1" applyFill="1" applyBorder="1" applyAlignment="1">
      <alignment horizontal="right"/>
    </xf>
    <xf numFmtId="1" fontId="2" fillId="0" borderId="24" xfId="3" applyNumberFormat="1" applyFont="1" applyFill="1" applyBorder="1" applyAlignment="1">
      <alignment horizontal="center" vertical="center" wrapText="1"/>
    </xf>
    <xf numFmtId="1" fontId="2" fillId="0" borderId="25" xfId="3" applyNumberFormat="1" applyFont="1" applyFill="1" applyBorder="1" applyAlignment="1">
      <alignment horizontal="center" vertical="center" wrapText="1"/>
    </xf>
    <xf numFmtId="49" fontId="1" fillId="0" borderId="22" xfId="1" applyNumberFormat="1" applyFont="1" applyFill="1" applyBorder="1" applyAlignment="1">
      <alignment horizontal="left" vertical="top"/>
    </xf>
    <xf numFmtId="49" fontId="1" fillId="0" borderId="22" xfId="1" applyNumberFormat="1" applyFont="1" applyFill="1" applyBorder="1" applyAlignment="1">
      <alignment horizontal="left" vertical="top" wrapText="1"/>
    </xf>
    <xf numFmtId="49" fontId="1" fillId="0" borderId="1" xfId="1" applyNumberFormat="1" applyFont="1" applyFill="1" applyBorder="1" applyAlignment="1">
      <alignment horizontal="right" vertical="center"/>
    </xf>
    <xf numFmtId="49" fontId="1" fillId="0" borderId="27" xfId="1" applyNumberFormat="1" applyFont="1" applyFill="1" applyBorder="1" applyAlignment="1">
      <alignment horizontal="left" vertical="top"/>
    </xf>
    <xf numFmtId="49" fontId="1" fillId="0" borderId="2" xfId="1" applyNumberFormat="1" applyFont="1" applyFill="1" applyBorder="1" applyAlignment="1">
      <alignment horizontal="right"/>
    </xf>
    <xf numFmtId="1" fontId="1" fillId="0" borderId="3" xfId="1" applyNumberFormat="1" applyFont="1" applyFill="1" applyBorder="1" applyAlignment="1">
      <alignment horizontal="center" vertical="center"/>
    </xf>
    <xf numFmtId="1" fontId="1" fillId="0" borderId="3" xfId="3" applyNumberFormat="1" applyFont="1" applyFill="1" applyBorder="1" applyAlignment="1">
      <alignment horizontal="center" vertical="center" wrapText="1"/>
    </xf>
    <xf numFmtId="1" fontId="1" fillId="0" borderId="19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 wrapText="1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15" xfId="1" applyNumberFormat="1" applyFont="1" applyFill="1" applyBorder="1" applyAlignment="1">
      <alignment horizontal="right"/>
    </xf>
    <xf numFmtId="49" fontId="1" fillId="4" borderId="22" xfId="1" applyNumberFormat="1" applyFont="1" applyFill="1" applyBorder="1" applyAlignment="1">
      <alignment horizontal="left" vertical="top"/>
    </xf>
    <xf numFmtId="49" fontId="1" fillId="4" borderId="1" xfId="1" applyNumberFormat="1" applyFont="1" applyFill="1" applyBorder="1" applyAlignment="1">
      <alignment horizontal="right"/>
    </xf>
    <xf numFmtId="1" fontId="1" fillId="4" borderId="23" xfId="1" applyNumberFormat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wrapText="1"/>
    </xf>
    <xf numFmtId="0" fontId="1" fillId="0" borderId="22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/>
    </xf>
    <xf numFmtId="179" fontId="2" fillId="0" borderId="22" xfId="5" applyFont="1" applyFill="1" applyBorder="1" applyAlignment="1" applyProtection="1">
      <alignment horizontal="left" vertical="top"/>
    </xf>
    <xf numFmtId="0" fontId="2" fillId="0" borderId="22" xfId="1" applyFont="1" applyFill="1" applyBorder="1" applyAlignment="1"/>
    <xf numFmtId="1" fontId="2" fillId="0" borderId="29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horizontal="center" vertical="center" wrapText="1"/>
    </xf>
    <xf numFmtId="49" fontId="1" fillId="0" borderId="31" xfId="1" applyNumberFormat="1" applyFont="1" applyFill="1" applyBorder="1" applyAlignment="1">
      <alignment horizontal="left" vertical="top" wrapText="1"/>
    </xf>
    <xf numFmtId="49" fontId="1" fillId="0" borderId="32" xfId="1" applyNumberFormat="1" applyFont="1" applyFill="1" applyBorder="1" applyAlignment="1">
      <alignment horizontal="right"/>
    </xf>
    <xf numFmtId="1" fontId="1" fillId="0" borderId="33" xfId="1" applyNumberFormat="1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>
      <alignment horizontal="center" vertical="center" wrapText="1"/>
    </xf>
    <xf numFmtId="1" fontId="1" fillId="0" borderId="34" xfId="3" applyNumberFormat="1" applyFont="1" applyFill="1" applyBorder="1" applyAlignment="1">
      <alignment horizontal="center" vertical="center" wrapText="1"/>
    </xf>
    <xf numFmtId="49" fontId="1" fillId="0" borderId="35" xfId="1" applyNumberFormat="1" applyFont="1" applyFill="1" applyBorder="1" applyAlignment="1">
      <alignment horizontal="left" vertical="top"/>
    </xf>
    <xf numFmtId="49" fontId="1" fillId="0" borderId="15" xfId="1" applyNumberFormat="1" applyFont="1" applyFill="1" applyBorder="1" applyAlignment="1">
      <alignment horizontal="right"/>
    </xf>
    <xf numFmtId="49" fontId="1" fillId="0" borderId="16" xfId="1" applyNumberFormat="1" applyFont="1" applyFill="1" applyBorder="1" applyAlignment="1">
      <alignment horizontal="right"/>
    </xf>
    <xf numFmtId="1" fontId="1" fillId="0" borderId="16" xfId="3" applyNumberFormat="1" applyFont="1" applyFill="1" applyBorder="1" applyAlignment="1">
      <alignment vertical="center" wrapText="1"/>
    </xf>
    <xf numFmtId="1" fontId="1" fillId="0" borderId="17" xfId="3" applyNumberFormat="1" applyFont="1" applyFill="1" applyBorder="1" applyAlignment="1">
      <alignment vertical="center" wrapText="1"/>
    </xf>
    <xf numFmtId="49" fontId="1" fillId="0" borderId="36" xfId="1" applyNumberFormat="1" applyFont="1" applyFill="1" applyBorder="1" applyAlignment="1">
      <alignment horizontal="left" vertical="top"/>
    </xf>
    <xf numFmtId="1" fontId="1" fillId="0" borderId="23" xfId="3" applyNumberFormat="1" applyFont="1" applyFill="1" applyBorder="1" applyAlignment="1">
      <alignment vertical="center" wrapText="1"/>
    </xf>
    <xf numFmtId="49" fontId="1" fillId="0" borderId="37" xfId="1" applyNumberFormat="1" applyFont="1" applyFill="1" applyBorder="1" applyAlignment="1">
      <alignment horizontal="right"/>
    </xf>
    <xf numFmtId="49" fontId="1" fillId="0" borderId="38" xfId="1" applyNumberFormat="1" applyFont="1" applyFill="1" applyBorder="1" applyAlignment="1">
      <alignment horizontal="right"/>
    </xf>
    <xf numFmtId="1" fontId="1" fillId="0" borderId="3" xfId="3" applyNumberFormat="1" applyFont="1" applyFill="1" applyBorder="1" applyAlignment="1">
      <alignment vertical="center" wrapText="1"/>
    </xf>
    <xf numFmtId="49" fontId="2" fillId="0" borderId="35" xfId="1" applyNumberFormat="1" applyFont="1" applyFill="1" applyBorder="1" applyAlignment="1">
      <alignment vertical="top" wrapText="1"/>
    </xf>
    <xf numFmtId="49" fontId="2" fillId="0" borderId="16" xfId="1" applyNumberFormat="1" applyFont="1" applyFill="1" applyBorder="1" applyAlignment="1">
      <alignment horizontal="right"/>
    </xf>
    <xf numFmtId="1" fontId="2" fillId="0" borderId="16" xfId="3" applyNumberFormat="1" applyFont="1" applyFill="1" applyBorder="1" applyAlignment="1">
      <alignment vertical="center" wrapText="1"/>
    </xf>
    <xf numFmtId="1" fontId="2" fillId="0" borderId="17" xfId="3" applyNumberFormat="1" applyFont="1" applyFill="1" applyBorder="1" applyAlignment="1">
      <alignment vertical="center" wrapText="1"/>
    </xf>
    <xf numFmtId="1" fontId="2" fillId="0" borderId="39" xfId="3" applyNumberFormat="1" applyFont="1" applyFill="1" applyBorder="1" applyAlignment="1">
      <alignment vertical="center" wrapText="1"/>
    </xf>
    <xf numFmtId="49" fontId="2" fillId="0" borderId="22" xfId="1" applyNumberFormat="1" applyFont="1" applyFill="1" applyBorder="1" applyAlignment="1">
      <alignment vertical="top" wrapText="1"/>
    </xf>
    <xf numFmtId="49" fontId="2" fillId="0" borderId="1" xfId="1" applyNumberFormat="1" applyFont="1" applyFill="1" applyBorder="1" applyAlignment="1">
      <alignment horizontal="right" vertical="center"/>
    </xf>
    <xf numFmtId="49" fontId="2" fillId="0" borderId="23" xfId="1" applyNumberFormat="1" applyFont="1" applyFill="1" applyBorder="1" applyAlignment="1">
      <alignment horizontal="right" vertical="center"/>
    </xf>
    <xf numFmtId="1" fontId="2" fillId="0" borderId="23" xfId="3" applyNumberFormat="1" applyFont="1" applyFill="1" applyBorder="1" applyAlignment="1">
      <alignment vertical="center" wrapText="1"/>
    </xf>
    <xf numFmtId="1" fontId="2" fillId="0" borderId="24" xfId="3" applyNumberFormat="1" applyFont="1" applyFill="1" applyBorder="1" applyAlignment="1">
      <alignment vertical="center" wrapText="1"/>
    </xf>
    <xf numFmtId="1" fontId="2" fillId="0" borderId="40" xfId="3" applyNumberFormat="1" applyFont="1" applyFill="1" applyBorder="1" applyAlignment="1">
      <alignment vertical="center" wrapText="1"/>
    </xf>
    <xf numFmtId="49" fontId="1" fillId="0" borderId="31" xfId="1" applyNumberFormat="1" applyFont="1" applyFill="1" applyBorder="1" applyAlignment="1">
      <alignment horizontal="left" vertical="top"/>
    </xf>
    <xf numFmtId="49" fontId="1" fillId="0" borderId="3" xfId="1" applyNumberFormat="1" applyFont="1" applyFill="1" applyBorder="1" applyAlignment="1">
      <alignment horizontal="right"/>
    </xf>
    <xf numFmtId="1" fontId="1" fillId="0" borderId="41" xfId="3" applyNumberFormat="1" applyFont="1" applyFill="1" applyBorder="1" applyAlignment="1">
      <alignment vertical="center" wrapText="1"/>
    </xf>
    <xf numFmtId="1" fontId="1" fillId="0" borderId="42" xfId="3" applyNumberFormat="1" applyFont="1" applyFill="1" applyBorder="1" applyAlignment="1">
      <alignment vertical="center" wrapText="1"/>
    </xf>
    <xf numFmtId="1" fontId="1" fillId="0" borderId="43" xfId="3" applyNumberFormat="1" applyFont="1" applyFill="1" applyBorder="1" applyAlignment="1">
      <alignment vertical="center" wrapText="1"/>
    </xf>
    <xf numFmtId="1" fontId="2" fillId="0" borderId="44" xfId="3" applyNumberFormat="1" applyFont="1" applyFill="1" applyBorder="1" applyAlignment="1">
      <alignment vertical="center" wrapText="1"/>
    </xf>
    <xf numFmtId="1" fontId="2" fillId="0" borderId="45" xfId="3" applyNumberFormat="1" applyFont="1" applyFill="1" applyBorder="1" applyAlignment="1">
      <alignment vertical="center" wrapText="1"/>
    </xf>
    <xf numFmtId="1" fontId="2" fillId="0" borderId="46" xfId="3" applyNumberFormat="1" applyFont="1" applyFill="1" applyBorder="1" applyAlignment="1">
      <alignment vertical="center" wrapText="1"/>
    </xf>
    <xf numFmtId="49" fontId="2" fillId="0" borderId="23" xfId="1" applyNumberFormat="1" applyFont="1" applyFill="1" applyBorder="1" applyAlignment="1">
      <alignment horizontal="right"/>
    </xf>
    <xf numFmtId="0" fontId="2" fillId="0" borderId="22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left" vertical="center"/>
    </xf>
    <xf numFmtId="49" fontId="1" fillId="0" borderId="23" xfId="1" applyNumberFormat="1" applyFont="1" applyFill="1" applyBorder="1" applyAlignment="1">
      <alignment horizontal="right"/>
    </xf>
    <xf numFmtId="1" fontId="2" fillId="0" borderId="47" xfId="3" applyNumberFormat="1" applyFont="1" applyFill="1" applyBorder="1" applyAlignment="1">
      <alignment vertical="center" wrapText="1"/>
    </xf>
    <xf numFmtId="0" fontId="1" fillId="0" borderId="27" xfId="1" applyFont="1" applyFill="1" applyBorder="1" applyAlignment="1">
      <alignment horizontal="left" vertical="center"/>
    </xf>
    <xf numFmtId="0" fontId="1" fillId="0" borderId="48" xfId="1" applyFont="1" applyFill="1" applyBorder="1" applyAlignment="1">
      <alignment horizontal="left" vertical="center"/>
    </xf>
    <xf numFmtId="0" fontId="1" fillId="0" borderId="49" xfId="1" applyFont="1" applyFill="1" applyBorder="1" applyAlignment="1">
      <alignment horizontal="left" vertical="center"/>
    </xf>
    <xf numFmtId="0" fontId="1" fillId="0" borderId="36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1" fillId="0" borderId="50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 vertical="center"/>
    </xf>
    <xf numFmtId="49" fontId="2" fillId="0" borderId="22" xfId="1" applyNumberFormat="1" applyFont="1" applyFill="1" applyBorder="1" applyAlignment="1">
      <alignment vertical="center" wrapText="1"/>
    </xf>
    <xf numFmtId="0" fontId="2" fillId="0" borderId="31" xfId="1" applyFont="1" applyFill="1" applyBorder="1" applyAlignment="1">
      <alignment vertical="center" wrapText="1"/>
    </xf>
    <xf numFmtId="49" fontId="2" fillId="0" borderId="32" xfId="1" applyNumberFormat="1" applyFont="1" applyFill="1" applyBorder="1" applyAlignment="1">
      <alignment horizontal="right" vertical="center"/>
    </xf>
    <xf numFmtId="49" fontId="2" fillId="0" borderId="33" xfId="1" applyNumberFormat="1" applyFont="1" applyFill="1" applyBorder="1" applyAlignment="1">
      <alignment horizontal="right"/>
    </xf>
    <xf numFmtId="1" fontId="2" fillId="0" borderId="33" xfId="3" applyNumberFormat="1" applyFont="1" applyFill="1" applyBorder="1" applyAlignment="1">
      <alignment horizontal="center" vertical="center" wrapText="1"/>
    </xf>
    <xf numFmtId="1" fontId="2" fillId="0" borderId="34" xfId="3" applyNumberFormat="1" applyFont="1" applyFill="1" applyBorder="1" applyAlignment="1">
      <alignment vertical="center" wrapText="1"/>
    </xf>
    <xf numFmtId="1" fontId="2" fillId="0" borderId="33" xfId="3" applyNumberFormat="1" applyFont="1" applyFill="1" applyBorder="1" applyAlignment="1">
      <alignment vertical="center" wrapText="1"/>
    </xf>
    <xf numFmtId="1" fontId="2" fillId="0" borderId="51" xfId="3" applyNumberFormat="1" applyFont="1" applyFill="1" applyBorder="1" applyAlignment="1">
      <alignment vertical="center" wrapText="1"/>
    </xf>
    <xf numFmtId="1" fontId="2" fillId="3" borderId="16" xfId="3" applyNumberFormat="1" applyFont="1" applyFill="1" applyBorder="1" applyAlignment="1">
      <alignment vertical="center" wrapText="1"/>
    </xf>
    <xf numFmtId="0" fontId="1" fillId="0" borderId="0" xfId="4" applyFont="1" applyFill="1" applyAlignment="1">
      <alignment horizontal="left"/>
    </xf>
    <xf numFmtId="49" fontId="2" fillId="0" borderId="1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wrapText="1"/>
    </xf>
    <xf numFmtId="0" fontId="6" fillId="0" borderId="0" xfId="4" applyFont="1" applyFill="1"/>
    <xf numFmtId="0" fontId="2" fillId="0" borderId="22" xfId="1" applyFont="1" applyFill="1" applyBorder="1"/>
    <xf numFmtId="0" fontId="2" fillId="0" borderId="23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0" fontId="1" fillId="0" borderId="23" xfId="1" applyFont="1" applyFill="1" applyBorder="1" applyAlignment="1">
      <alignment horizontal="right"/>
    </xf>
    <xf numFmtId="0" fontId="1" fillId="0" borderId="31" xfId="1" applyFont="1" applyFill="1" applyBorder="1"/>
    <xf numFmtId="0" fontId="1" fillId="0" borderId="32" xfId="1" applyFont="1" applyFill="1" applyBorder="1" applyAlignment="1">
      <alignment horizontal="right"/>
    </xf>
    <xf numFmtId="0" fontId="1" fillId="0" borderId="33" xfId="1" applyFont="1" applyFill="1" applyBorder="1" applyAlignment="1">
      <alignment horizontal="right"/>
    </xf>
    <xf numFmtId="1" fontId="2" fillId="0" borderId="41" xfId="3" applyNumberFormat="1" applyFont="1" applyFill="1" applyBorder="1" applyAlignment="1">
      <alignment vertical="center" wrapText="1"/>
    </xf>
    <xf numFmtId="1" fontId="2" fillId="0" borderId="52" xfId="3" applyNumberFormat="1" applyFont="1" applyFill="1" applyBorder="1" applyAlignment="1">
      <alignment vertical="center" wrapText="1"/>
    </xf>
    <xf numFmtId="1" fontId="2" fillId="0" borderId="43" xfId="3" applyNumberFormat="1" applyFont="1" applyFill="1" applyBorder="1" applyAlignment="1">
      <alignment vertical="center" wrapText="1"/>
    </xf>
    <xf numFmtId="3" fontId="1" fillId="0" borderId="0" xfId="4" applyNumberFormat="1" applyFont="1" applyFill="1" applyBorder="1" applyAlignment="1">
      <alignment horizontal="center" vertical="center"/>
    </xf>
    <xf numFmtId="1" fontId="2" fillId="0" borderId="0" xfId="4" applyNumberFormat="1" applyFont="1" applyFill="1"/>
    <xf numFmtId="0" fontId="2" fillId="0" borderId="0" xfId="4" applyFont="1" applyFill="1"/>
    <xf numFmtId="1" fontId="2" fillId="0" borderId="0" xfId="4" applyNumberFormat="1" applyFont="1" applyFill="1" applyAlignment="1">
      <alignment vertical="center"/>
    </xf>
    <xf numFmtId="0" fontId="2" fillId="0" borderId="0" xfId="4" applyFont="1" applyFill="1" applyBorder="1" applyAlignment="1"/>
    <xf numFmtId="0" fontId="2" fillId="0" borderId="0" xfId="4" applyFont="1" applyFill="1" applyAlignment="1"/>
    <xf numFmtId="0" fontId="1" fillId="0" borderId="0" xfId="4" applyFont="1" applyFill="1" applyAlignment="1"/>
    <xf numFmtId="0" fontId="2" fillId="0" borderId="22" xfId="1" applyFont="1" applyFill="1" applyBorder="1" applyAlignment="1">
      <alignment vertical="center"/>
    </xf>
    <xf numFmtId="1" fontId="2" fillId="0" borderId="23" xfId="1" applyNumberFormat="1" applyFont="1" applyFill="1" applyBorder="1" applyAlignment="1">
      <alignment horizontal="center"/>
    </xf>
    <xf numFmtId="9" fontId="2" fillId="0" borderId="0" xfId="4" applyNumberFormat="1" applyFont="1" applyFill="1"/>
    <xf numFmtId="49" fontId="2" fillId="0" borderId="22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right" vertical="top"/>
    </xf>
    <xf numFmtId="1" fontId="2" fillId="0" borderId="23" xfId="1" applyNumberFormat="1" applyFont="1" applyFill="1" applyBorder="1" applyAlignment="1">
      <alignment horizontal="center" vertical="top"/>
    </xf>
    <xf numFmtId="1" fontId="2" fillId="0" borderId="53" xfId="3" applyNumberFormat="1" applyFont="1" applyFill="1" applyBorder="1" applyAlignment="1">
      <alignment horizontal="center" vertical="center" wrapText="1"/>
    </xf>
    <xf numFmtId="1" fontId="1" fillId="0" borderId="23" xfId="1" applyNumberFormat="1" applyFont="1" applyFill="1" applyBorder="1" applyAlignment="1">
      <alignment horizontal="center"/>
    </xf>
    <xf numFmtId="1" fontId="1" fillId="0" borderId="53" xfId="3" applyNumberFormat="1" applyFont="1" applyFill="1" applyBorder="1" applyAlignment="1">
      <alignment horizontal="center" vertical="center" wrapText="1"/>
    </xf>
    <xf numFmtId="3" fontId="2" fillId="0" borderId="0" xfId="4" applyNumberFormat="1" applyFont="1" applyFill="1"/>
    <xf numFmtId="1" fontId="1" fillId="0" borderId="16" xfId="3" applyNumberFormat="1" applyFont="1" applyFill="1" applyBorder="1" applyAlignment="1">
      <alignment horizontal="center" vertical="center" wrapText="1"/>
    </xf>
    <xf numFmtId="1" fontId="1" fillId="0" borderId="30" xfId="3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1" fontId="2" fillId="0" borderId="23" xfId="1" applyNumberFormat="1" applyFont="1" applyFill="1" applyBorder="1" applyAlignment="1">
      <alignment horizontal="center" vertical="center" wrapText="1"/>
    </xf>
    <xf numFmtId="1" fontId="1" fillId="0" borderId="26" xfId="3" applyNumberFormat="1" applyFont="1" applyFill="1" applyBorder="1" applyAlignment="1">
      <alignment horizontal="center" vertical="center" wrapText="1"/>
    </xf>
    <xf numFmtId="1" fontId="2" fillId="0" borderId="26" xfId="3" applyNumberFormat="1" applyFont="1" applyFill="1" applyBorder="1" applyAlignment="1">
      <alignment horizontal="center" vertical="center" wrapText="1"/>
    </xf>
    <xf numFmtId="1" fontId="1" fillId="0" borderId="41" xfId="3" applyNumberFormat="1" applyFont="1" applyFill="1" applyBorder="1" applyAlignment="1">
      <alignment horizontal="center" vertical="center" wrapText="1"/>
    </xf>
    <xf numFmtId="1" fontId="2" fillId="0" borderId="44" xfId="3" applyNumberFormat="1" applyFont="1" applyFill="1" applyBorder="1" applyAlignment="1">
      <alignment horizontal="center" vertical="center" wrapText="1"/>
    </xf>
    <xf numFmtId="0" fontId="1" fillId="0" borderId="54" xfId="1" applyFont="1" applyFill="1" applyBorder="1" applyAlignment="1">
      <alignment horizontal="left" vertical="center"/>
    </xf>
    <xf numFmtId="0" fontId="1" fillId="0" borderId="55" xfId="1" applyFont="1" applyFill="1" applyBorder="1" applyAlignment="1">
      <alignment horizontal="left" vertical="center"/>
    </xf>
    <xf numFmtId="1" fontId="2" fillId="0" borderId="56" xfId="3" applyNumberFormat="1" applyFont="1" applyFill="1" applyBorder="1" applyAlignment="1">
      <alignment vertical="center" wrapText="1"/>
    </xf>
    <xf numFmtId="1" fontId="2" fillId="3" borderId="22" xfId="3" applyNumberFormat="1" applyFont="1" applyFill="1" applyBorder="1" applyAlignment="1">
      <alignment vertical="center" wrapText="1"/>
    </xf>
    <xf numFmtId="1" fontId="2" fillId="3" borderId="1" xfId="3" applyNumberFormat="1" applyFont="1" applyFill="1" applyBorder="1" applyAlignment="1">
      <alignment vertical="center" wrapText="1"/>
    </xf>
    <xf numFmtId="1" fontId="2" fillId="3" borderId="23" xfId="3" applyNumberFormat="1" applyFont="1" applyFill="1" applyBorder="1" applyAlignment="1">
      <alignment vertical="center" wrapText="1"/>
    </xf>
    <xf numFmtId="1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vertical="center" wrapText="1"/>
    </xf>
    <xf numFmtId="1" fontId="3" fillId="0" borderId="57" xfId="1" applyNumberFormat="1" applyFont="1" applyBorder="1" applyAlignment="1">
      <alignment horizontal="center" vertical="center"/>
    </xf>
    <xf numFmtId="1" fontId="3" fillId="0" borderId="53" xfId="1" applyNumberFormat="1" applyFont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right" vertical="top"/>
    </xf>
    <xf numFmtId="49" fontId="2" fillId="0" borderId="23" xfId="1" applyNumberFormat="1" applyFont="1" applyFill="1" applyBorder="1" applyAlignment="1">
      <alignment horizontal="center"/>
    </xf>
    <xf numFmtId="49" fontId="1" fillId="0" borderId="23" xfId="1" applyNumberFormat="1" applyFont="1" applyFill="1" applyBorder="1" applyAlignment="1">
      <alignment horizontal="center"/>
    </xf>
    <xf numFmtId="1" fontId="0" fillId="0" borderId="53" xfId="1" applyNumberFormat="1" applyFont="1" applyBorder="1" applyAlignment="1">
      <alignment horizontal="center" vertical="center"/>
    </xf>
    <xf numFmtId="49" fontId="1" fillId="0" borderId="58" xfId="1" applyNumberFormat="1" applyFont="1" applyFill="1" applyBorder="1" applyAlignment="1">
      <alignment horizontal="left" vertical="top"/>
    </xf>
    <xf numFmtId="49" fontId="1" fillId="0" borderId="59" xfId="1" applyNumberFormat="1" applyFont="1" applyFill="1" applyBorder="1" applyAlignment="1">
      <alignment horizontal="right"/>
    </xf>
    <xf numFmtId="0" fontId="2" fillId="0" borderId="14" xfId="1" applyFont="1" applyFill="1" applyBorder="1" applyAlignment="1"/>
    <xf numFmtId="49" fontId="2" fillId="0" borderId="31" xfId="1" applyNumberFormat="1" applyFont="1" applyFill="1" applyBorder="1" applyAlignment="1">
      <alignment horizontal="left" vertical="top"/>
    </xf>
    <xf numFmtId="49" fontId="1" fillId="0" borderId="33" xfId="1" applyNumberFormat="1" applyFont="1" applyFill="1" applyBorder="1" applyAlignment="1">
      <alignment horizontal="right"/>
    </xf>
    <xf numFmtId="49" fontId="2" fillId="0" borderId="14" xfId="1" applyNumberFormat="1" applyFont="1" applyFill="1" applyBorder="1" applyAlignment="1">
      <alignment vertical="top" wrapText="1"/>
    </xf>
    <xf numFmtId="0" fontId="1" fillId="0" borderId="60" xfId="1" applyFont="1" applyFill="1" applyBorder="1" applyAlignment="1">
      <alignment horizontal="left" vertical="center"/>
    </xf>
    <xf numFmtId="1" fontId="3" fillId="0" borderId="61" xfId="1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horizontal="left" vertical="center"/>
    </xf>
    <xf numFmtId="49" fontId="1" fillId="0" borderId="53" xfId="1" applyNumberFormat="1" applyFont="1" applyFill="1" applyBorder="1" applyAlignment="1">
      <alignment horizontal="right"/>
    </xf>
    <xf numFmtId="49" fontId="1" fillId="0" borderId="62" xfId="1" applyNumberFormat="1" applyFont="1" applyFill="1" applyBorder="1" applyAlignment="1">
      <alignment horizontal="right"/>
    </xf>
    <xf numFmtId="1" fontId="0" fillId="0" borderId="63" xfId="1" applyNumberFormat="1" applyFont="1" applyBorder="1" applyAlignment="1">
      <alignment horizontal="center" vertical="center"/>
    </xf>
    <xf numFmtId="1" fontId="0" fillId="0" borderId="64" xfId="1" applyNumberFormat="1" applyFont="1" applyBorder="1" applyAlignment="1">
      <alignment horizontal="center" vertical="center"/>
    </xf>
    <xf numFmtId="1" fontId="0" fillId="0" borderId="65" xfId="1" applyNumberFormat="1" applyFont="1" applyBorder="1" applyAlignment="1">
      <alignment horizontal="center" vertical="center"/>
    </xf>
    <xf numFmtId="1" fontId="0" fillId="0" borderId="66" xfId="1" applyNumberFormat="1" applyFont="1" applyBorder="1" applyAlignment="1">
      <alignment horizontal="center" vertical="center"/>
    </xf>
    <xf numFmtId="1" fontId="0" fillId="0" borderId="26" xfId="1" applyNumberFormat="1" applyFont="1" applyBorder="1" applyAlignment="1">
      <alignment horizontal="center" vertical="center"/>
    </xf>
    <xf numFmtId="1" fontId="0" fillId="0" borderId="67" xfId="1" applyNumberFormat="1" applyFont="1" applyBorder="1" applyAlignment="1">
      <alignment horizontal="center" vertical="center"/>
    </xf>
    <xf numFmtId="49" fontId="1" fillId="0" borderId="68" xfId="1" applyNumberFormat="1" applyFont="1" applyFill="1" applyBorder="1" applyAlignment="1">
      <alignment horizontal="right"/>
    </xf>
    <xf numFmtId="1" fontId="0" fillId="0" borderId="69" xfId="1" applyNumberFormat="1" applyFont="1" applyBorder="1" applyAlignment="1">
      <alignment horizontal="center" vertical="center"/>
    </xf>
    <xf numFmtId="1" fontId="0" fillId="0" borderId="70" xfId="1" applyNumberFormat="1" applyFont="1" applyBorder="1" applyAlignment="1">
      <alignment horizontal="center" vertical="center"/>
    </xf>
    <xf numFmtId="1" fontId="0" fillId="0" borderId="71" xfId="1" applyNumberFormat="1" applyFont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center"/>
    </xf>
    <xf numFmtId="1" fontId="0" fillId="0" borderId="72" xfId="1" applyNumberFormat="1" applyFont="1" applyBorder="1" applyAlignment="1">
      <alignment horizontal="center" vertical="center"/>
    </xf>
    <xf numFmtId="1" fontId="0" fillId="0" borderId="73" xfId="1" applyNumberFormat="1" applyFont="1" applyBorder="1" applyAlignment="1">
      <alignment horizontal="center" vertical="center"/>
    </xf>
    <xf numFmtId="1" fontId="0" fillId="0" borderId="74" xfId="1" applyNumberFormat="1" applyFont="1" applyBorder="1" applyAlignment="1">
      <alignment horizontal="center" vertical="center"/>
    </xf>
    <xf numFmtId="1" fontId="0" fillId="0" borderId="75" xfId="1" applyNumberFormat="1" applyFont="1" applyBorder="1" applyAlignment="1">
      <alignment horizontal="center" vertical="center"/>
    </xf>
    <xf numFmtId="0" fontId="2" fillId="0" borderId="35" xfId="1" applyFont="1" applyFill="1" applyBorder="1" applyAlignment="1">
      <alignment horizontal="left" vertical="center"/>
    </xf>
    <xf numFmtId="49" fontId="2" fillId="0" borderId="76" xfId="1" applyNumberFormat="1" applyFont="1" applyFill="1" applyBorder="1" applyAlignment="1">
      <alignment horizontal="right"/>
    </xf>
    <xf numFmtId="1" fontId="3" fillId="0" borderId="73" xfId="1" applyNumberFormat="1" applyFont="1" applyBorder="1" applyAlignment="1">
      <alignment horizontal="center" vertical="center"/>
    </xf>
    <xf numFmtId="1" fontId="3" fillId="0" borderId="26" xfId="1" applyNumberFormat="1" applyFont="1" applyBorder="1" applyAlignment="1">
      <alignment horizontal="center" vertical="center"/>
    </xf>
    <xf numFmtId="1" fontId="3" fillId="0" borderId="70" xfId="1" applyNumberFormat="1" applyFont="1" applyBorder="1" applyAlignment="1">
      <alignment horizontal="center" vertical="center"/>
    </xf>
    <xf numFmtId="1" fontId="3" fillId="0" borderId="65" xfId="1" applyNumberFormat="1" applyFont="1" applyBorder="1" applyAlignment="1">
      <alignment horizontal="center" vertical="center"/>
    </xf>
    <xf numFmtId="1" fontId="3" fillId="0" borderId="64" xfId="1" applyNumberFormat="1" applyFont="1" applyBorder="1" applyAlignment="1">
      <alignment horizontal="center" vertical="center"/>
    </xf>
    <xf numFmtId="1" fontId="3" fillId="0" borderId="77" xfId="1" applyNumberFormat="1" applyFont="1" applyBorder="1" applyAlignment="1">
      <alignment horizontal="center" vertical="center"/>
    </xf>
    <xf numFmtId="49" fontId="1" fillId="0" borderId="78" xfId="1" applyNumberFormat="1" applyFont="1" applyFill="1" applyBorder="1" applyAlignment="1">
      <alignment horizontal="right"/>
    </xf>
    <xf numFmtId="1" fontId="3" fillId="0" borderId="66" xfId="1" applyNumberFormat="1" applyFont="1" applyBorder="1" applyAlignment="1">
      <alignment horizontal="center" vertical="center"/>
    </xf>
    <xf numFmtId="1" fontId="3" fillId="0" borderId="71" xfId="1" applyNumberFormat="1" applyFont="1" applyBorder="1" applyAlignment="1">
      <alignment horizontal="center" vertical="center"/>
    </xf>
    <xf numFmtId="1" fontId="3" fillId="0" borderId="79" xfId="1" applyNumberFormat="1" applyFont="1" applyBorder="1" applyAlignment="1">
      <alignment horizontal="center" vertical="center"/>
    </xf>
    <xf numFmtId="49" fontId="2" fillId="0" borderId="78" xfId="1" applyNumberFormat="1" applyFont="1" applyFill="1" applyBorder="1" applyAlignment="1">
      <alignment horizontal="right" vertical="center"/>
    </xf>
    <xf numFmtId="49" fontId="2" fillId="0" borderId="78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right" vertical="center"/>
    </xf>
    <xf numFmtId="49" fontId="2" fillId="0" borderId="80" xfId="1" applyNumberFormat="1" applyFont="1" applyFill="1" applyBorder="1" applyAlignment="1">
      <alignment horizontal="right"/>
    </xf>
    <xf numFmtId="1" fontId="2" fillId="3" borderId="81" xfId="3" applyNumberFormat="1" applyFont="1" applyFill="1" applyBorder="1" applyAlignment="1">
      <alignment vertical="center" wrapText="1"/>
    </xf>
    <xf numFmtId="49" fontId="2" fillId="0" borderId="78" xfId="1" applyNumberFormat="1" applyFont="1" applyFill="1" applyBorder="1" applyAlignment="1">
      <alignment horizontal="right" vertical="center" wrapText="1"/>
    </xf>
    <xf numFmtId="0" fontId="2" fillId="0" borderId="78" xfId="1" applyFont="1" applyFill="1" applyBorder="1" applyAlignment="1">
      <alignment horizontal="right"/>
    </xf>
    <xf numFmtId="0" fontId="1" fillId="0" borderId="78" xfId="1" applyFont="1" applyFill="1" applyBorder="1" applyAlignment="1">
      <alignment horizontal="right"/>
    </xf>
    <xf numFmtId="1" fontId="3" fillId="0" borderId="82" xfId="1" applyNumberFormat="1" applyFont="1" applyBorder="1" applyAlignment="1">
      <alignment horizontal="center" vertical="center"/>
    </xf>
    <xf numFmtId="1" fontId="3" fillId="0" borderId="83" xfId="1" applyNumberFormat="1" applyFont="1" applyBorder="1" applyAlignment="1">
      <alignment horizontal="center" vertical="center"/>
    </xf>
    <xf numFmtId="1" fontId="3" fillId="0" borderId="84" xfId="1" applyNumberFormat="1" applyFont="1" applyBorder="1" applyAlignment="1">
      <alignment horizontal="center" vertical="center"/>
    </xf>
    <xf numFmtId="0" fontId="1" fillId="0" borderId="85" xfId="1" applyFont="1" applyFill="1" applyBorder="1" applyAlignment="1">
      <alignment horizontal="right"/>
    </xf>
    <xf numFmtId="1" fontId="3" fillId="0" borderId="86" xfId="1" applyNumberFormat="1" applyFont="1" applyBorder="1" applyAlignment="1">
      <alignment horizontal="center" vertical="center"/>
    </xf>
    <xf numFmtId="1" fontId="3" fillId="0" borderId="87" xfId="1" applyNumberFormat="1" applyFont="1" applyBorder="1" applyAlignment="1">
      <alignment horizontal="center" vertical="center"/>
    </xf>
    <xf numFmtId="1" fontId="3" fillId="0" borderId="8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89" xfId="3" applyNumberFormat="1" applyFont="1" applyFill="1" applyBorder="1" applyAlignment="1">
      <alignment horizontal="center" vertical="center" wrapText="1"/>
    </xf>
    <xf numFmtId="1" fontId="2" fillId="3" borderId="90" xfId="3" applyNumberFormat="1" applyFont="1" applyFill="1" applyBorder="1" applyAlignment="1">
      <alignment horizontal="center" vertical="center" wrapText="1"/>
    </xf>
    <xf numFmtId="1" fontId="2" fillId="0" borderId="40" xfId="3" applyNumberFormat="1" applyFont="1" applyFill="1" applyBorder="1" applyAlignment="1">
      <alignment horizontal="center" vertical="center" wrapText="1"/>
    </xf>
    <xf numFmtId="1" fontId="1" fillId="0" borderId="40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vertical="center" wrapText="1"/>
    </xf>
    <xf numFmtId="1" fontId="1" fillId="0" borderId="40" xfId="3" applyNumberFormat="1" applyFont="1" applyFill="1" applyBorder="1" applyAlignment="1">
      <alignment vertical="center" wrapText="1"/>
    </xf>
    <xf numFmtId="49" fontId="1" fillId="0" borderId="23" xfId="1" applyNumberFormat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>
      <alignment vertical="center" wrapText="1"/>
    </xf>
    <xf numFmtId="49" fontId="1" fillId="0" borderId="91" xfId="1" applyNumberFormat="1" applyFont="1" applyFill="1" applyBorder="1" applyAlignment="1">
      <alignment horizontal="right"/>
    </xf>
    <xf numFmtId="49" fontId="1" fillId="0" borderId="59" xfId="1" applyNumberFormat="1" applyFont="1" applyFill="1" applyBorder="1" applyAlignment="1">
      <alignment horizontal="center" vertical="center"/>
    </xf>
    <xf numFmtId="1" fontId="1" fillId="0" borderId="59" xfId="3" applyNumberFormat="1" applyFont="1" applyFill="1" applyBorder="1" applyAlignment="1">
      <alignment horizontal="center" vertical="center" wrapText="1"/>
    </xf>
    <xf numFmtId="1" fontId="1" fillId="0" borderId="92" xfId="3" applyNumberFormat="1" applyFont="1" applyFill="1" applyBorder="1" applyAlignment="1">
      <alignment vertical="center" wrapText="1"/>
    </xf>
    <xf numFmtId="1" fontId="1" fillId="0" borderId="59" xfId="3" applyNumberFormat="1" applyFont="1" applyFill="1" applyBorder="1" applyAlignment="1">
      <alignment vertical="center" wrapText="1"/>
    </xf>
    <xf numFmtId="49" fontId="2" fillId="0" borderId="16" xfId="1" applyNumberFormat="1" applyFont="1" applyFill="1" applyBorder="1" applyAlignment="1">
      <alignment horizontal="center" vertical="center"/>
    </xf>
    <xf numFmtId="49" fontId="2" fillId="0" borderId="32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center" vertical="center"/>
    </xf>
    <xf numFmtId="49" fontId="1" fillId="0" borderId="33" xfId="1" applyNumberFormat="1" applyFont="1" applyFill="1" applyBorder="1" applyAlignment="1">
      <alignment horizontal="center" vertical="center"/>
    </xf>
    <xf numFmtId="1" fontId="1" fillId="0" borderId="34" xfId="3" applyNumberFormat="1" applyFont="1" applyFill="1" applyBorder="1" applyAlignment="1">
      <alignment vertical="center" wrapText="1"/>
    </xf>
    <xf numFmtId="1" fontId="1" fillId="0" borderId="33" xfId="3" applyNumberFormat="1" applyFont="1" applyFill="1" applyBorder="1" applyAlignment="1">
      <alignment vertical="center" wrapText="1"/>
    </xf>
    <xf numFmtId="1" fontId="1" fillId="0" borderId="51" xfId="3" applyNumberFormat="1" applyFont="1" applyFill="1" applyBorder="1" applyAlignment="1">
      <alignment vertical="center" wrapText="1"/>
    </xf>
    <xf numFmtId="1" fontId="1" fillId="0" borderId="93" xfId="3" applyNumberFormat="1" applyFont="1" applyFill="1" applyBorder="1" applyAlignment="1">
      <alignment vertical="center" wrapText="1"/>
    </xf>
    <xf numFmtId="1" fontId="1" fillId="0" borderId="39" xfId="3" applyNumberFormat="1" applyFont="1" applyFill="1" applyBorder="1" applyAlignment="1">
      <alignment vertical="center" wrapText="1"/>
    </xf>
    <xf numFmtId="49" fontId="1" fillId="0" borderId="16" xfId="1" applyNumberFormat="1" applyFont="1" applyFill="1" applyBorder="1" applyAlignment="1">
      <alignment horizontal="center"/>
    </xf>
    <xf numFmtId="1" fontId="2" fillId="0" borderId="32" xfId="3" applyNumberFormat="1" applyFont="1" applyFill="1" applyBorder="1" applyAlignment="1">
      <alignment horizontal="center" vertical="center" wrapText="1"/>
    </xf>
    <xf numFmtId="1" fontId="2" fillId="0" borderId="41" xfId="3" applyNumberFormat="1" applyFont="1" applyFill="1" applyBorder="1" applyAlignment="1">
      <alignment horizontal="center" vertical="center" wrapText="1"/>
    </xf>
    <xf numFmtId="49" fontId="1" fillId="4" borderId="23" xfId="1" applyNumberFormat="1" applyFont="1" applyFill="1" applyBorder="1" applyAlignment="1">
      <alignment horizontal="center" vertical="center"/>
    </xf>
    <xf numFmtId="49" fontId="1" fillId="0" borderId="38" xfId="1" applyNumberFormat="1" applyFont="1" applyFill="1" applyBorder="1" applyAlignment="1">
      <alignment horizontal="center" vertical="center"/>
    </xf>
    <xf numFmtId="1" fontId="2" fillId="0" borderId="38" xfId="3" applyNumberFormat="1" applyFont="1" applyFill="1" applyBorder="1" applyAlignment="1">
      <alignment horizontal="center" vertical="center" wrapText="1"/>
    </xf>
    <xf numFmtId="1" fontId="2" fillId="0" borderId="94" xfId="3" applyNumberFormat="1" applyFont="1" applyFill="1" applyBorder="1" applyAlignment="1">
      <alignment vertical="center" wrapText="1"/>
    </xf>
    <xf numFmtId="1" fontId="2" fillId="0" borderId="38" xfId="3" applyNumberFormat="1" applyFont="1" applyFill="1" applyBorder="1" applyAlignment="1">
      <alignment vertical="center" wrapText="1"/>
    </xf>
    <xf numFmtId="1" fontId="2" fillId="0" borderId="95" xfId="3" applyNumberFormat="1" applyFont="1" applyFill="1" applyBorder="1" applyAlignment="1">
      <alignment vertical="center" wrapText="1"/>
    </xf>
    <xf numFmtId="1" fontId="0" fillId="0" borderId="0" xfId="4" applyNumberFormat="1" applyFont="1" applyFill="1" applyBorder="1" applyAlignment="1"/>
    <xf numFmtId="1" fontId="0" fillId="0" borderId="96" xfId="4" applyNumberFormat="1" applyFont="1" applyFill="1" applyBorder="1" applyAlignment="1"/>
    <xf numFmtId="2" fontId="3" fillId="0" borderId="9" xfId="1" applyNumberFormat="1" applyFont="1" applyBorder="1" applyAlignment="1">
      <alignment horizontal="center" vertical="center"/>
    </xf>
    <xf numFmtId="1" fontId="2" fillId="0" borderId="97" xfId="3" applyNumberFormat="1" applyFont="1" applyFill="1" applyBorder="1" applyAlignment="1">
      <alignment horizontal="center" vertical="center" wrapText="1"/>
    </xf>
    <xf numFmtId="1" fontId="2" fillId="0" borderId="98" xfId="3" applyNumberFormat="1" applyFont="1" applyFill="1" applyBorder="1" applyAlignment="1">
      <alignment horizontal="center" vertical="center" wrapText="1"/>
    </xf>
    <xf numFmtId="1" fontId="2" fillId="0" borderId="99" xfId="3" applyNumberFormat="1" applyFont="1" applyFill="1" applyBorder="1" applyAlignment="1">
      <alignment horizontal="center" vertical="center" wrapText="1"/>
    </xf>
    <xf numFmtId="1" fontId="3" fillId="3" borderId="54" xfId="1" applyNumberFormat="1" applyFont="1" applyFill="1" applyBorder="1" applyAlignment="1">
      <alignment horizontal="center" vertical="center"/>
    </xf>
    <xf numFmtId="2" fontId="3" fillId="3" borderId="54" xfId="1" applyNumberFormat="1" applyFont="1" applyFill="1" applyBorder="1" applyAlignment="1">
      <alignment horizontal="center" vertical="center"/>
    </xf>
    <xf numFmtId="1" fontId="2" fillId="3" borderId="69" xfId="3" applyNumberFormat="1" applyFont="1" applyFill="1" applyBorder="1" applyAlignment="1">
      <alignment horizontal="center" vertical="center" wrapText="1"/>
    </xf>
    <xf numFmtId="1" fontId="2" fillId="3" borderId="53" xfId="3" applyNumberFormat="1" applyFont="1" applyFill="1" applyBorder="1" applyAlignment="1">
      <alignment horizontal="center" vertical="center" wrapText="1"/>
    </xf>
    <xf numFmtId="1" fontId="2" fillId="3" borderId="67" xfId="3" applyNumberFormat="1" applyFont="1" applyFill="1" applyBorder="1" applyAlignment="1">
      <alignment horizontal="center" vertical="center" wrapText="1"/>
    </xf>
    <xf numFmtId="1" fontId="14" fillId="0" borderId="54" xfId="1" applyNumberFormat="1" applyBorder="1" applyAlignment="1">
      <alignment horizontal="center" vertical="center"/>
    </xf>
    <xf numFmtId="1" fontId="2" fillId="0" borderId="69" xfId="3" applyNumberFormat="1" applyFont="1" applyFill="1" applyBorder="1" applyAlignment="1">
      <alignment horizontal="center" vertical="center" wrapText="1"/>
    </xf>
    <xf numFmtId="1" fontId="2" fillId="0" borderId="67" xfId="3" applyNumberFormat="1" applyFont="1" applyFill="1" applyBorder="1" applyAlignment="1">
      <alignment horizontal="center" vertical="center" wrapText="1"/>
    </xf>
    <xf numFmtId="1" fontId="3" fillId="0" borderId="54" xfId="1" applyNumberFormat="1" applyFont="1" applyBorder="1" applyAlignment="1">
      <alignment horizontal="center" vertical="center"/>
    </xf>
    <xf numFmtId="1" fontId="1" fillId="0" borderId="69" xfId="3" applyNumberFormat="1" applyFont="1" applyFill="1" applyBorder="1" applyAlignment="1">
      <alignment horizontal="center" vertical="center" wrapText="1"/>
    </xf>
    <xf numFmtId="1" fontId="1" fillId="0" borderId="67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vertical="center" wrapText="1"/>
    </xf>
    <xf numFmtId="1" fontId="1" fillId="0" borderId="30" xfId="3" applyNumberFormat="1" applyFont="1" applyFill="1" applyBorder="1" applyAlignment="1">
      <alignment vertical="center" wrapText="1"/>
    </xf>
    <xf numFmtId="1" fontId="14" fillId="0" borderId="70" xfId="1" applyNumberFormat="1" applyBorder="1" applyAlignment="1">
      <alignment horizontal="center" vertical="center"/>
    </xf>
    <xf numFmtId="1" fontId="14" fillId="0" borderId="100" xfId="1" applyNumberFormat="1" applyBorder="1" applyAlignment="1">
      <alignment horizontal="center" vertical="center"/>
    </xf>
    <xf numFmtId="1" fontId="14" fillId="0" borderId="79" xfId="1" applyNumberFormat="1" applyBorder="1" applyAlignment="1">
      <alignment horizontal="center" vertical="center"/>
    </xf>
    <xf numFmtId="1" fontId="1" fillId="0" borderId="101" xfId="3" applyNumberFormat="1" applyFont="1" applyFill="1" applyBorder="1" applyAlignment="1">
      <alignment vertical="center" wrapText="1"/>
    </xf>
    <xf numFmtId="49" fontId="1" fillId="0" borderId="14" xfId="1" applyNumberFormat="1" applyFont="1" applyFill="1" applyBorder="1" applyAlignment="1">
      <alignment horizontal="left" vertical="top"/>
    </xf>
    <xf numFmtId="2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vertical="center" wrapText="1"/>
    </xf>
    <xf numFmtId="0" fontId="3" fillId="0" borderId="0" xfId="4" applyFont="1" applyFill="1" applyBorder="1" applyAlignment="1"/>
    <xf numFmtId="1" fontId="7" fillId="0" borderId="9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2" fontId="8" fillId="0" borderId="10" xfId="3" applyNumberFormat="1" applyFont="1" applyFill="1" applyBorder="1" applyAlignment="1">
      <alignment horizontal="center" vertical="center" wrapText="1"/>
    </xf>
    <xf numFmtId="1" fontId="8" fillId="3" borderId="15" xfId="3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49" fontId="1" fillId="4" borderId="31" xfId="1" applyNumberFormat="1" applyFont="1" applyFill="1" applyBorder="1" applyAlignment="1">
      <alignment horizontal="left" vertical="top"/>
    </xf>
    <xf numFmtId="49" fontId="1" fillId="4" borderId="32" xfId="1" applyNumberFormat="1" applyFont="1" applyFill="1" applyBorder="1" applyAlignment="1">
      <alignment horizontal="right"/>
    </xf>
    <xf numFmtId="2" fontId="2" fillId="3" borderId="16" xfId="3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wrapText="1"/>
    </xf>
    <xf numFmtId="2" fontId="2" fillId="4" borderId="23" xfId="1" applyNumberFormat="1" applyFont="1" applyFill="1" applyBorder="1" applyAlignment="1">
      <alignment horizontal="center"/>
    </xf>
    <xf numFmtId="2" fontId="2" fillId="4" borderId="23" xfId="3" applyNumberFormat="1" applyFont="1" applyFill="1" applyBorder="1" applyAlignment="1">
      <alignment horizontal="center" vertical="center" wrapText="1"/>
    </xf>
    <xf numFmtId="1" fontId="14" fillId="0" borderId="9" xfId="1" applyNumberFormat="1" applyBorder="1" applyAlignment="1">
      <alignment horizontal="center" vertical="center"/>
    </xf>
    <xf numFmtId="1" fontId="2" fillId="0" borderId="102" xfId="3" applyNumberFormat="1" applyFont="1" applyFill="1" applyBorder="1" applyAlignment="1">
      <alignment horizontal="center" vertical="center" wrapText="1"/>
    </xf>
    <xf numFmtId="1" fontId="8" fillId="0" borderId="10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/>
    <xf numFmtId="1" fontId="1" fillId="0" borderId="0" xfId="4" applyNumberFormat="1" applyFont="1" applyFill="1" applyBorder="1" applyAlignment="1">
      <alignment horizontal="center" vertical="center"/>
    </xf>
    <xf numFmtId="1" fontId="1" fillId="0" borderId="42" xfId="3" applyNumberFormat="1" applyFont="1" applyFill="1" applyBorder="1" applyAlignment="1">
      <alignment horizontal="center" vertical="center" wrapText="1"/>
    </xf>
    <xf numFmtId="1" fontId="1" fillId="0" borderId="103" xfId="3" applyNumberFormat="1" applyFont="1" applyFill="1" applyBorder="1" applyAlignment="1">
      <alignment horizontal="center" vertical="center" wrapText="1"/>
    </xf>
    <xf numFmtId="49" fontId="2" fillId="0" borderId="104" xfId="1" applyNumberFormat="1" applyFont="1" applyFill="1" applyBorder="1" applyAlignment="1">
      <alignment horizontal="left" vertical="top"/>
    </xf>
    <xf numFmtId="49" fontId="2" fillId="0" borderId="105" xfId="1" applyNumberFormat="1" applyFont="1" applyFill="1" applyBorder="1" applyAlignment="1">
      <alignment horizontal="right"/>
    </xf>
    <xf numFmtId="1" fontId="2" fillId="0" borderId="105" xfId="1" applyNumberFormat="1" applyFont="1" applyFill="1" applyBorder="1" applyAlignment="1">
      <alignment horizontal="center" vertical="center"/>
    </xf>
    <xf numFmtId="1" fontId="2" fillId="0" borderId="106" xfId="1" applyNumberFormat="1" applyFont="1" applyFill="1" applyBorder="1" applyAlignment="1">
      <alignment horizontal="center" vertical="center"/>
    </xf>
    <xf numFmtId="1" fontId="2" fillId="0" borderId="107" xfId="3" applyNumberFormat="1" applyFont="1" applyFill="1" applyBorder="1" applyAlignment="1">
      <alignment horizontal="center" vertical="center" wrapText="1"/>
    </xf>
    <xf numFmtId="1" fontId="2" fillId="0" borderId="108" xfId="3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center"/>
    </xf>
    <xf numFmtId="1" fontId="2" fillId="0" borderId="34" xfId="3" applyNumberFormat="1" applyFont="1" applyFill="1" applyBorder="1" applyAlignment="1">
      <alignment horizontal="center" vertical="center" wrapText="1"/>
    </xf>
    <xf numFmtId="1" fontId="2" fillId="0" borderId="109" xfId="3" applyNumberFormat="1" applyFont="1" applyFill="1" applyBorder="1" applyAlignment="1">
      <alignment horizontal="center" vertical="center" wrapText="1"/>
    </xf>
    <xf numFmtId="1" fontId="2" fillId="0" borderId="95" xfId="3" applyNumberFormat="1" applyFont="1" applyFill="1" applyBorder="1" applyAlignment="1">
      <alignment horizontal="center" vertical="center" wrapText="1"/>
    </xf>
    <xf numFmtId="0" fontId="0" fillId="0" borderId="0" xfId="4" applyFont="1" applyFill="1" applyAlignment="1">
      <alignment vertical="center"/>
    </xf>
    <xf numFmtId="1" fontId="2" fillId="0" borderId="70" xfId="3" applyNumberFormat="1" applyFont="1" applyFill="1" applyBorder="1" applyAlignment="1">
      <alignment horizontal="center" vertical="center" wrapText="1"/>
    </xf>
    <xf numFmtId="1" fontId="2" fillId="3" borderId="70" xfId="3" applyNumberFormat="1" applyFont="1" applyFill="1" applyBorder="1" applyAlignment="1">
      <alignment horizontal="center" vertical="center" wrapText="1"/>
    </xf>
    <xf numFmtId="1" fontId="1" fillId="0" borderId="70" xfId="3" applyNumberFormat="1" applyFont="1" applyFill="1" applyBorder="1" applyAlignment="1">
      <alignment horizontal="center" vertical="center" wrapText="1"/>
    </xf>
    <xf numFmtId="1" fontId="2" fillId="0" borderId="53" xfId="3" applyNumberFormat="1" applyFont="1" applyFill="1" applyBorder="1" applyAlignment="1">
      <alignment vertical="center" wrapText="1"/>
    </xf>
    <xf numFmtId="1" fontId="2" fillId="0" borderId="70" xfId="3" applyNumberFormat="1" applyFont="1" applyFill="1" applyBorder="1" applyAlignment="1">
      <alignment vertical="center" wrapText="1"/>
    </xf>
    <xf numFmtId="1" fontId="1" fillId="0" borderId="53" xfId="3" applyNumberFormat="1" applyFont="1" applyFill="1" applyBorder="1" applyAlignment="1">
      <alignment vertical="center" wrapText="1"/>
    </xf>
    <xf numFmtId="1" fontId="1" fillId="0" borderId="70" xfId="3" applyNumberFormat="1" applyFont="1" applyFill="1" applyBorder="1" applyAlignment="1">
      <alignment vertical="center" wrapText="1"/>
    </xf>
    <xf numFmtId="1" fontId="1" fillId="0" borderId="110" xfId="3" applyNumberFormat="1" applyFont="1" applyFill="1" applyBorder="1" applyAlignment="1">
      <alignment vertical="center" wrapText="1"/>
    </xf>
    <xf numFmtId="1" fontId="1" fillId="0" borderId="79" xfId="3" applyNumberFormat="1" applyFont="1" applyFill="1" applyBorder="1" applyAlignment="1">
      <alignment vertical="center" wrapText="1"/>
    </xf>
    <xf numFmtId="1" fontId="1" fillId="0" borderId="15" xfId="3" applyNumberFormat="1" applyFont="1" applyFill="1" applyBorder="1" applyAlignment="1">
      <alignment vertical="center" wrapText="1"/>
    </xf>
    <xf numFmtId="1" fontId="1" fillId="0" borderId="1" xfId="3" applyNumberFormat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right"/>
    </xf>
    <xf numFmtId="1" fontId="2" fillId="0" borderId="3" xfId="3" applyNumberFormat="1" applyFont="1" applyFill="1" applyBorder="1" applyAlignment="1">
      <alignment vertical="center" wrapText="1"/>
    </xf>
    <xf numFmtId="0" fontId="1" fillId="0" borderId="27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111" xfId="1" applyFont="1" applyFill="1" applyBorder="1"/>
    <xf numFmtId="0" fontId="1" fillId="0" borderId="112" xfId="1" applyFont="1" applyFill="1" applyBorder="1" applyAlignment="1">
      <alignment horizontal="right"/>
    </xf>
    <xf numFmtId="0" fontId="1" fillId="0" borderId="113" xfId="1" applyFont="1" applyFill="1" applyBorder="1" applyAlignment="1">
      <alignment horizontal="right"/>
    </xf>
    <xf numFmtId="1" fontId="2" fillId="0" borderId="112" xfId="3" applyNumberFormat="1" applyFont="1" applyFill="1" applyBorder="1" applyAlignment="1">
      <alignment vertical="center" wrapText="1"/>
    </xf>
    <xf numFmtId="1" fontId="2" fillId="0" borderId="114" xfId="3" applyNumberFormat="1" applyFont="1" applyFill="1" applyBorder="1" applyAlignment="1">
      <alignment horizontal="center" vertical="center" wrapText="1"/>
    </xf>
    <xf numFmtId="0" fontId="14" fillId="0" borderId="115" xfId="1" applyBorder="1"/>
    <xf numFmtId="2" fontId="3" fillId="0" borderId="116" xfId="1" applyNumberFormat="1" applyFont="1" applyBorder="1" applyAlignment="1">
      <alignment horizontal="center" vertical="center"/>
    </xf>
    <xf numFmtId="1" fontId="2" fillId="0" borderId="117" xfId="3" applyNumberFormat="1" applyFont="1" applyFill="1" applyBorder="1" applyAlignment="1">
      <alignment horizontal="center" vertical="center" wrapText="1"/>
    </xf>
    <xf numFmtId="1" fontId="2" fillId="3" borderId="104" xfId="3" applyNumberFormat="1" applyFont="1" applyFill="1" applyBorder="1" applyAlignment="1">
      <alignment vertical="center" wrapText="1"/>
    </xf>
    <xf numFmtId="1" fontId="2" fillId="3" borderId="105" xfId="3" applyNumberFormat="1" applyFont="1" applyFill="1" applyBorder="1" applyAlignment="1">
      <alignment vertical="center" wrapText="1"/>
    </xf>
    <xf numFmtId="1" fontId="3" fillId="3" borderId="116" xfId="1" applyNumberFormat="1" applyFont="1" applyFill="1" applyBorder="1" applyAlignment="1">
      <alignment horizontal="center" vertical="center"/>
    </xf>
    <xf numFmtId="2" fontId="3" fillId="3" borderId="116" xfId="1" applyNumberFormat="1" applyFont="1" applyFill="1" applyBorder="1" applyAlignment="1">
      <alignment horizontal="center" vertical="center"/>
    </xf>
    <xf numFmtId="2" fontId="2" fillId="3" borderId="117" xfId="3" applyNumberFormat="1" applyFont="1" applyFill="1" applyBorder="1" applyAlignment="1">
      <alignment horizontal="center" vertical="center" wrapText="1"/>
    </xf>
    <xf numFmtId="0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horizontal="center" vertical="center" wrapText="1"/>
    </xf>
    <xf numFmtId="2" fontId="1" fillId="0" borderId="0" xfId="4" applyNumberFormat="1" applyFont="1" applyFill="1"/>
    <xf numFmtId="0" fontId="0" fillId="0" borderId="54" xfId="1" applyNumberFormat="1" applyFont="1" applyBorder="1" applyAlignment="1">
      <alignment horizontal="center" vertical="center"/>
    </xf>
    <xf numFmtId="1" fontId="2" fillId="0" borderId="118" xfId="3" applyNumberFormat="1" applyFont="1" applyFill="1" applyBorder="1" applyAlignment="1">
      <alignment horizontal="center" vertical="center" wrapText="1"/>
    </xf>
    <xf numFmtId="1" fontId="2" fillId="0" borderId="59" xfId="3" applyNumberFormat="1" applyFont="1" applyFill="1" applyBorder="1" applyAlignment="1">
      <alignment horizontal="center" vertical="center" wrapText="1"/>
    </xf>
    <xf numFmtId="49" fontId="3" fillId="0" borderId="54" xfId="1" applyNumberFormat="1" applyFont="1" applyBorder="1" applyAlignment="1">
      <alignment horizontal="center" vertical="center"/>
    </xf>
    <xf numFmtId="1" fontId="2" fillId="0" borderId="47" xfId="3" applyNumberFormat="1" applyFont="1" applyFill="1" applyBorder="1" applyAlignment="1">
      <alignment horizontal="center" vertical="center" wrapText="1"/>
    </xf>
    <xf numFmtId="2" fontId="2" fillId="3" borderId="23" xfId="3" applyNumberFormat="1" applyFont="1" applyFill="1" applyBorder="1" applyAlignment="1">
      <alignment horizontal="center" vertical="center" wrapText="1"/>
    </xf>
    <xf numFmtId="2" fontId="1" fillId="0" borderId="41" xfId="3" applyNumberFormat="1" applyFont="1" applyFill="1" applyBorder="1" applyAlignment="1">
      <alignment horizontal="center" vertical="center" wrapText="1"/>
    </xf>
    <xf numFmtId="1" fontId="2" fillId="0" borderId="52" xfId="3" applyNumberFormat="1" applyFont="1" applyFill="1" applyBorder="1" applyAlignment="1">
      <alignment horizontal="center" vertical="center" wrapText="1"/>
    </xf>
    <xf numFmtId="2" fontId="2" fillId="0" borderId="10" xfId="3" applyNumberFormat="1" applyFont="1" applyFill="1" applyBorder="1" applyAlignment="1">
      <alignment horizontal="center" vertical="center" wrapText="1"/>
    </xf>
    <xf numFmtId="2" fontId="2" fillId="3" borderId="15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 wrapText="1"/>
    </xf>
    <xf numFmtId="2" fontId="1" fillId="0" borderId="23" xfId="1" applyNumberFormat="1" applyFont="1" applyFill="1" applyBorder="1" applyAlignment="1">
      <alignment horizontal="center" vertical="center"/>
    </xf>
    <xf numFmtId="49" fontId="2" fillId="4" borderId="22" xfId="1" applyNumberFormat="1" applyFont="1" applyFill="1" applyBorder="1" applyAlignment="1">
      <alignment horizontal="left" vertical="top"/>
    </xf>
    <xf numFmtId="49" fontId="2" fillId="4" borderId="1" xfId="1" applyNumberFormat="1" applyFont="1" applyFill="1" applyBorder="1" applyAlignment="1">
      <alignment horizontal="right"/>
    </xf>
    <xf numFmtId="1" fontId="2" fillId="4" borderId="23" xfId="1" applyNumberFormat="1" applyFont="1" applyFill="1" applyBorder="1" applyAlignment="1">
      <alignment horizontal="center" vertical="center"/>
    </xf>
    <xf numFmtId="1" fontId="1" fillId="0" borderId="119" xfId="3" applyNumberFormat="1" applyFont="1" applyFill="1" applyBorder="1" applyAlignment="1">
      <alignment horizontal="center" vertical="center" wrapText="1"/>
    </xf>
    <xf numFmtId="49" fontId="2" fillId="0" borderId="36" xfId="1" applyNumberFormat="1" applyFont="1" applyFill="1" applyBorder="1" applyAlignment="1">
      <alignment horizontal="left" vertical="top"/>
    </xf>
    <xf numFmtId="1" fontId="1" fillId="0" borderId="120" xfId="3" applyNumberFormat="1" applyFont="1" applyFill="1" applyBorder="1" applyAlignment="1">
      <alignment horizontal="center" vertical="center" wrapText="1"/>
    </xf>
    <xf numFmtId="1" fontId="2" fillId="0" borderId="45" xfId="3" applyNumberFormat="1" applyFont="1" applyFill="1" applyBorder="1" applyAlignment="1">
      <alignment horizontal="center" vertical="center" wrapText="1"/>
    </xf>
    <xf numFmtId="1" fontId="2" fillId="0" borderId="121" xfId="3" applyNumberFormat="1" applyFont="1" applyFill="1" applyBorder="1" applyAlignment="1">
      <alignment horizontal="center" vertical="center" wrapText="1"/>
    </xf>
    <xf numFmtId="1" fontId="2" fillId="3" borderId="23" xfId="3" applyNumberFormat="1" applyFont="1" applyFill="1" applyBorder="1" applyAlignment="1">
      <alignment horizontal="center" vertical="center" wrapText="1"/>
    </xf>
    <xf numFmtId="1" fontId="2" fillId="3" borderId="24" xfId="3" applyNumberFormat="1" applyFont="1" applyFill="1" applyBorder="1" applyAlignment="1">
      <alignment horizontal="center" vertical="center" wrapText="1"/>
    </xf>
    <xf numFmtId="0" fontId="2" fillId="4" borderId="22" xfId="1" applyFont="1" applyFill="1" applyBorder="1" applyAlignment="1">
      <alignment wrapText="1"/>
    </xf>
    <xf numFmtId="2" fontId="1" fillId="4" borderId="23" xfId="3" applyNumberFormat="1" applyFont="1" applyFill="1" applyBorder="1" applyAlignment="1">
      <alignment horizontal="center" vertical="center" wrapText="1"/>
    </xf>
    <xf numFmtId="2" fontId="1" fillId="4" borderId="23" xfId="1" applyNumberFormat="1" applyFont="1" applyFill="1" applyBorder="1" applyAlignment="1">
      <alignment horizontal="center" vertical="center"/>
    </xf>
    <xf numFmtId="49" fontId="1" fillId="0" borderId="53" xfId="1" applyNumberFormat="1" applyFont="1" applyFill="1" applyBorder="1" applyAlignment="1">
      <alignment horizontal="left" vertical="top"/>
    </xf>
    <xf numFmtId="1" fontId="1" fillId="0" borderId="53" xfId="1" applyNumberFormat="1" applyFont="1" applyFill="1" applyBorder="1" applyAlignment="1">
      <alignment horizontal="center" vertical="center"/>
    </xf>
    <xf numFmtId="49" fontId="1" fillId="0" borderId="122" xfId="1" applyNumberFormat="1" applyFont="1" applyFill="1" applyBorder="1" applyAlignment="1">
      <alignment horizontal="left" vertical="top"/>
    </xf>
    <xf numFmtId="49" fontId="1" fillId="0" borderId="123" xfId="1" applyNumberFormat="1" applyFont="1" applyFill="1" applyBorder="1" applyAlignment="1">
      <alignment horizontal="right"/>
    </xf>
    <xf numFmtId="1" fontId="1" fillId="0" borderId="124" xfId="1" applyNumberFormat="1" applyFont="1" applyFill="1" applyBorder="1" applyAlignment="1">
      <alignment horizontal="center"/>
    </xf>
    <xf numFmtId="1" fontId="1" fillId="0" borderId="125" xfId="1" applyNumberFormat="1" applyFont="1" applyFill="1" applyBorder="1" applyAlignment="1">
      <alignment horizontal="center"/>
    </xf>
    <xf numFmtId="1" fontId="1" fillId="0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/>
    </xf>
    <xf numFmtId="49" fontId="2" fillId="0" borderId="27" xfId="1" applyNumberFormat="1" applyFont="1" applyFill="1" applyBorder="1" applyAlignment="1">
      <alignment horizontal="left" vertical="top"/>
    </xf>
    <xf numFmtId="49" fontId="2" fillId="0" borderId="2" xfId="1" applyNumberFormat="1" applyFont="1" applyFill="1" applyBorder="1" applyAlignment="1">
      <alignment horizontal="right"/>
    </xf>
    <xf numFmtId="49" fontId="2" fillId="0" borderId="3" xfId="1" applyNumberFormat="1" applyFont="1" applyFill="1" applyBorder="1" applyAlignment="1">
      <alignment horizontal="center"/>
    </xf>
    <xf numFmtId="1" fontId="2" fillId="0" borderId="38" xfId="1" applyNumberFormat="1" applyFont="1" applyFill="1" applyBorder="1" applyAlignment="1">
      <alignment horizontal="center" vertical="center"/>
    </xf>
    <xf numFmtId="1" fontId="2" fillId="0" borderId="94" xfId="3" applyNumberFormat="1" applyFont="1" applyFill="1" applyBorder="1" applyAlignment="1">
      <alignment horizontal="center" vertical="center" wrapText="1"/>
    </xf>
    <xf numFmtId="49" fontId="2" fillId="0" borderId="91" xfId="1" applyNumberFormat="1" applyFont="1" applyFill="1" applyBorder="1" applyAlignment="1">
      <alignment horizontal="right"/>
    </xf>
    <xf numFmtId="1" fontId="2" fillId="0" borderId="59" xfId="1" applyNumberFormat="1" applyFont="1" applyFill="1" applyBorder="1" applyAlignment="1">
      <alignment horizontal="center" vertical="center"/>
    </xf>
    <xf numFmtId="1" fontId="1" fillId="0" borderId="92" xfId="3" applyNumberFormat="1" applyFont="1" applyFill="1" applyBorder="1" applyAlignment="1">
      <alignment horizontal="center" vertical="center" wrapText="1"/>
    </xf>
    <xf numFmtId="1" fontId="1" fillId="0" borderId="51" xfId="3" applyNumberFormat="1" applyFont="1" applyFill="1" applyBorder="1" applyAlignment="1">
      <alignment horizontal="center" vertical="center" wrapText="1"/>
    </xf>
    <xf numFmtId="1" fontId="1" fillId="0" borderId="38" xfId="1" applyNumberFormat="1" applyFont="1" applyFill="1" applyBorder="1" applyAlignment="1">
      <alignment horizontal="right"/>
    </xf>
    <xf numFmtId="1" fontId="1" fillId="0" borderId="38" xfId="3" applyNumberFormat="1" applyFont="1" applyFill="1" applyBorder="1" applyAlignment="1">
      <alignment horizontal="center" vertical="center" wrapText="1"/>
    </xf>
    <xf numFmtId="1" fontId="1" fillId="0" borderId="94" xfId="3" applyNumberFormat="1" applyFont="1" applyFill="1" applyBorder="1" applyAlignment="1">
      <alignment horizontal="center" vertical="center" wrapText="1"/>
    </xf>
    <xf numFmtId="2" fontId="2" fillId="0" borderId="16" xfId="3" applyNumberFormat="1" applyFont="1" applyFill="1" applyBorder="1" applyAlignment="1">
      <alignment horizontal="center" vertical="center" wrapText="1"/>
    </xf>
    <xf numFmtId="1" fontId="2" fillId="0" borderId="127" xfId="3" applyNumberFormat="1" applyFont="1" applyFill="1" applyBorder="1" applyAlignment="1">
      <alignment horizontal="center" vertical="center" wrapText="1"/>
    </xf>
    <xf numFmtId="2" fontId="2" fillId="0" borderId="44" xfId="3" applyNumberFormat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wrapText="1"/>
    </xf>
    <xf numFmtId="2" fontId="2" fillId="0" borderId="33" xfId="3" applyNumberFormat="1" applyFont="1" applyFill="1" applyBorder="1" applyAlignment="1">
      <alignment horizontal="center" vertical="center" wrapText="1"/>
    </xf>
    <xf numFmtId="1" fontId="2" fillId="0" borderId="128" xfId="3" applyNumberFormat="1" applyFont="1" applyFill="1" applyBorder="1" applyAlignment="1">
      <alignment horizontal="center" vertical="center" wrapText="1"/>
    </xf>
    <xf numFmtId="2" fontId="2" fillId="0" borderId="41" xfId="3" applyNumberFormat="1" applyFont="1" applyFill="1" applyBorder="1" applyAlignment="1">
      <alignment horizontal="center" vertical="center" wrapText="1"/>
    </xf>
    <xf numFmtId="1" fontId="2" fillId="0" borderId="120" xfId="3" applyNumberFormat="1" applyFont="1" applyFill="1" applyBorder="1" applyAlignment="1">
      <alignment horizontal="center" vertical="center" wrapText="1"/>
    </xf>
    <xf numFmtId="2" fontId="3" fillId="0" borderId="129" xfId="1" applyNumberFormat="1" applyFont="1" applyBorder="1" applyAlignment="1">
      <alignment horizontal="center" vertical="center"/>
    </xf>
    <xf numFmtId="1" fontId="2" fillId="3" borderId="28" xfId="3" applyNumberFormat="1" applyFont="1" applyFill="1" applyBorder="1" applyAlignment="1">
      <alignment vertical="center" wrapText="1"/>
    </xf>
    <xf numFmtId="1" fontId="2" fillId="3" borderId="130" xfId="3" applyNumberFormat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horizontal="right"/>
    </xf>
    <xf numFmtId="1" fontId="3" fillId="0" borderId="131" xfId="1" applyNumberFormat="1" applyFont="1" applyBorder="1" applyAlignment="1">
      <alignment horizontal="center" vertical="center"/>
    </xf>
    <xf numFmtId="49" fontId="2" fillId="0" borderId="58" xfId="1" applyNumberFormat="1" applyFont="1" applyFill="1" applyBorder="1" applyAlignment="1">
      <alignment horizontal="left" vertical="top"/>
    </xf>
    <xf numFmtId="1" fontId="2" fillId="0" borderId="118" xfId="3" applyNumberFormat="1" applyFont="1" applyFill="1" applyBorder="1" applyAlignment="1">
      <alignment vertical="center" wrapText="1"/>
    </xf>
    <xf numFmtId="1" fontId="2" fillId="0" borderId="59" xfId="3" applyNumberFormat="1" applyFont="1" applyFill="1" applyBorder="1" applyAlignment="1">
      <alignment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/>
    </xf>
    <xf numFmtId="0" fontId="2" fillId="2" borderId="61" xfId="4" applyFont="1" applyFill="1" applyBorder="1" applyAlignment="1">
      <alignment horizontal="center" vertical="center"/>
    </xf>
    <xf numFmtId="1" fontId="2" fillId="0" borderId="117" xfId="3" applyNumberFormat="1" applyFont="1" applyFill="1" applyBorder="1" applyAlignment="1">
      <alignment vertical="center" wrapText="1"/>
    </xf>
    <xf numFmtId="1" fontId="2" fillId="0" borderId="132" xfId="3" applyNumberFormat="1" applyFont="1" applyFill="1" applyBorder="1" applyAlignment="1">
      <alignment horizontal="center" vertical="center" wrapText="1"/>
    </xf>
    <xf numFmtId="1" fontId="2" fillId="3" borderId="133" xfId="3" applyNumberFormat="1" applyFont="1" applyFill="1" applyBorder="1" applyAlignment="1">
      <alignment vertical="center" wrapText="1"/>
    </xf>
    <xf numFmtId="1" fontId="2" fillId="3" borderId="132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/>
    </xf>
    <xf numFmtId="0" fontId="2" fillId="0" borderId="133" xfId="1" applyFont="1" applyFill="1" applyBorder="1" applyAlignment="1">
      <alignment horizontal="right"/>
    </xf>
    <xf numFmtId="1" fontId="2" fillId="0" borderId="134" xfId="3" applyNumberFormat="1" applyFont="1" applyFill="1" applyBorder="1" applyAlignment="1">
      <alignment horizontal="center" vertical="center" wrapText="1"/>
    </xf>
    <xf numFmtId="1" fontId="2" fillId="0" borderId="135" xfId="3" applyNumberFormat="1" applyFont="1" applyFill="1" applyBorder="1" applyAlignment="1">
      <alignment horizontal="center" vertical="center" wrapText="1"/>
    </xf>
    <xf numFmtId="1" fontId="2" fillId="0" borderId="13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right" vertical="top"/>
    </xf>
    <xf numFmtId="1" fontId="2" fillId="0" borderId="137" xfId="3" applyNumberFormat="1" applyFont="1" applyFill="1" applyBorder="1" applyAlignment="1">
      <alignment horizontal="center" vertical="center" wrapText="1"/>
    </xf>
    <xf numFmtId="1" fontId="2" fillId="0" borderId="138" xfId="3" applyNumberFormat="1" applyFont="1" applyFill="1" applyBorder="1" applyAlignment="1">
      <alignment horizontal="center" vertical="center" wrapText="1"/>
    </xf>
    <xf numFmtId="1" fontId="2" fillId="0" borderId="139" xfId="3" applyNumberFormat="1" applyFont="1" applyFill="1" applyBorder="1" applyAlignment="1">
      <alignment horizontal="center" vertical="center" wrapText="1"/>
    </xf>
    <xf numFmtId="1" fontId="2" fillId="0" borderId="140" xfId="3" applyNumberFormat="1" applyFont="1" applyFill="1" applyBorder="1" applyAlignment="1">
      <alignment horizontal="center" vertical="center" wrapText="1"/>
    </xf>
    <xf numFmtId="1" fontId="2" fillId="0" borderId="141" xfId="3" applyNumberFormat="1" applyFont="1" applyFill="1" applyBorder="1" applyAlignment="1">
      <alignment horizontal="center" vertical="center" wrapText="1"/>
    </xf>
    <xf numFmtId="1" fontId="2" fillId="0" borderId="66" xfId="3" applyNumberFormat="1" applyFont="1" applyFill="1" applyBorder="1" applyAlignment="1">
      <alignment horizontal="center" vertical="center" wrapText="1"/>
    </xf>
    <xf numFmtId="1" fontId="1" fillId="0" borderId="141" xfId="3" applyNumberFormat="1" applyFont="1" applyFill="1" applyBorder="1" applyAlignment="1">
      <alignment horizontal="center" vertical="center" wrapText="1"/>
    </xf>
    <xf numFmtId="1" fontId="1" fillId="0" borderId="66" xfId="3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right"/>
    </xf>
    <xf numFmtId="1" fontId="1" fillId="0" borderId="142" xfId="3" applyNumberFormat="1" applyFont="1" applyFill="1" applyBorder="1" applyAlignment="1">
      <alignment horizontal="center" vertical="center" wrapText="1"/>
    </xf>
    <xf numFmtId="1" fontId="1" fillId="0" borderId="4" xfId="3" applyNumberFormat="1" applyFont="1" applyFill="1" applyBorder="1" applyAlignment="1">
      <alignment horizontal="center" vertical="center" wrapText="1"/>
    </xf>
    <xf numFmtId="1" fontId="1" fillId="0" borderId="61" xfId="3" applyNumberFormat="1" applyFont="1" applyFill="1" applyBorder="1" applyAlignment="1">
      <alignment horizontal="center" vertical="center" wrapText="1"/>
    </xf>
    <xf numFmtId="1" fontId="1" fillId="0" borderId="143" xfId="3" applyNumberFormat="1" applyFont="1" applyFill="1" applyBorder="1" applyAlignment="1">
      <alignment horizontal="center" vertical="center" wrapText="1"/>
    </xf>
    <xf numFmtId="0" fontId="2" fillId="0" borderId="144" xfId="1" applyFont="1" applyFill="1" applyBorder="1" applyAlignment="1">
      <alignment vertical="center" wrapText="1"/>
    </xf>
    <xf numFmtId="1" fontId="2" fillId="0" borderId="145" xfId="3" applyNumberFormat="1" applyFont="1" applyFill="1" applyBorder="1" applyAlignment="1">
      <alignment horizontal="center" vertical="center" wrapText="1"/>
    </xf>
    <xf numFmtId="1" fontId="2" fillId="0" borderId="13" xfId="3" applyNumberFormat="1" applyFont="1" applyFill="1" applyBorder="1" applyAlignment="1">
      <alignment horizontal="center" vertical="center" wrapText="1"/>
    </xf>
    <xf numFmtId="1" fontId="2" fillId="0" borderId="57" xfId="3" applyNumberFormat="1" applyFont="1" applyFill="1" applyBorder="1" applyAlignment="1">
      <alignment horizontal="center" vertical="center" wrapText="1"/>
    </xf>
    <xf numFmtId="1" fontId="2" fillId="0" borderId="73" xfId="3" applyNumberFormat="1" applyFont="1" applyFill="1" applyBorder="1" applyAlignment="1">
      <alignment horizontal="center" vertical="center" wrapText="1"/>
    </xf>
    <xf numFmtId="1" fontId="1" fillId="0" borderId="83" xfId="3" applyNumberFormat="1" applyFont="1" applyFill="1" applyBorder="1" applyAlignment="1">
      <alignment horizontal="center" vertical="center" wrapText="1"/>
    </xf>
    <xf numFmtId="1" fontId="1" fillId="0" borderId="146" xfId="3" applyNumberFormat="1" applyFont="1" applyFill="1" applyBorder="1" applyAlignment="1">
      <alignment horizontal="center" vertical="center" wrapText="1"/>
    </xf>
    <xf numFmtId="1" fontId="1" fillId="0" borderId="147" xfId="3" applyNumberFormat="1" applyFont="1" applyFill="1" applyBorder="1" applyAlignment="1">
      <alignment horizontal="center" vertical="center" wrapText="1"/>
    </xf>
    <xf numFmtId="1" fontId="1" fillId="0" borderId="82" xfId="3" applyNumberFormat="1" applyFont="1" applyFill="1" applyBorder="1" applyAlignment="1">
      <alignment horizontal="center" vertical="center" wrapText="1"/>
    </xf>
    <xf numFmtId="179" fontId="2" fillId="0" borderId="14" xfId="5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0" fontId="5" fillId="0" borderId="0" xfId="0" applyFont="1" applyAlignment="1">
      <alignment horizontal="center"/>
    </xf>
    <xf numFmtId="1" fontId="2" fillId="0" borderId="115" xfId="3" applyNumberFormat="1" applyFont="1" applyFill="1" applyBorder="1" applyAlignment="1">
      <alignment horizontal="center" vertical="center" wrapText="1"/>
    </xf>
    <xf numFmtId="1" fontId="2" fillId="0" borderId="132" xfId="3" applyNumberFormat="1" applyFont="1" applyFill="1" applyBorder="1" applyAlignment="1">
      <alignment vertical="center" wrapText="1"/>
    </xf>
    <xf numFmtId="1" fontId="2" fillId="3" borderId="148" xfId="3" applyNumberFormat="1" applyFont="1" applyFill="1" applyBorder="1" applyAlignment="1">
      <alignment vertical="center" wrapText="1"/>
    </xf>
    <xf numFmtId="1" fontId="2" fillId="3" borderId="134" xfId="3" applyNumberFormat="1" applyFont="1" applyFill="1" applyBorder="1" applyAlignment="1">
      <alignment vertical="center" wrapText="1"/>
    </xf>
    <xf numFmtId="0" fontId="2" fillId="0" borderId="148" xfId="1" applyFont="1" applyFill="1" applyBorder="1" applyAlignment="1">
      <alignment vertical="center"/>
    </xf>
    <xf numFmtId="0" fontId="2" fillId="0" borderId="134" xfId="1" applyFont="1" applyFill="1" applyBorder="1" applyAlignment="1">
      <alignment horizontal="center"/>
    </xf>
    <xf numFmtId="49" fontId="2" fillId="0" borderId="149" xfId="1" applyNumberFormat="1" applyFont="1" applyFill="1" applyBorder="1" applyAlignment="1">
      <alignment horizontal="right" vertical="center" wrapText="1"/>
    </xf>
    <xf numFmtId="49" fontId="2" fillId="0" borderId="150" xfId="1" applyNumberFormat="1" applyFont="1" applyFill="1" applyBorder="1" applyAlignment="1">
      <alignment horizontal="center" vertical="top"/>
    </xf>
    <xf numFmtId="49" fontId="2" fillId="0" borderId="30" xfId="1" applyNumberFormat="1" applyFont="1" applyFill="1" applyBorder="1" applyAlignment="1">
      <alignment horizontal="left" vertical="top"/>
    </xf>
    <xf numFmtId="49" fontId="2" fillId="0" borderId="151" xfId="1" applyNumberFormat="1" applyFont="1" applyFill="1" applyBorder="1" applyAlignment="1">
      <alignment horizontal="center" vertical="top"/>
    </xf>
    <xf numFmtId="0" fontId="1" fillId="0" borderId="30" xfId="1" applyFont="1" applyFill="1" applyBorder="1"/>
    <xf numFmtId="49" fontId="1" fillId="0" borderId="151" xfId="1" applyNumberFormat="1" applyFont="1" applyFill="1" applyBorder="1" applyAlignment="1">
      <alignment horizontal="center"/>
    </xf>
    <xf numFmtId="0" fontId="1" fillId="0" borderId="137" xfId="4" applyFont="1" applyFill="1" applyBorder="1" applyAlignment="1">
      <alignment horizontal="center"/>
    </xf>
    <xf numFmtId="49" fontId="1" fillId="0" borderId="137" xfId="1" applyNumberFormat="1" applyFont="1" applyFill="1" applyBorder="1" applyAlignment="1">
      <alignment horizontal="center"/>
    </xf>
    <xf numFmtId="49" fontId="2" fillId="0" borderId="151" xfId="1" applyNumberFormat="1" applyFont="1" applyFill="1" applyBorder="1" applyAlignment="1">
      <alignment horizontal="center" vertical="center"/>
    </xf>
    <xf numFmtId="49" fontId="1" fillId="0" borderId="30" xfId="1" applyNumberFormat="1" applyFont="1" applyFill="1" applyBorder="1" applyAlignment="1">
      <alignment horizontal="left" vertical="top"/>
    </xf>
    <xf numFmtId="49" fontId="1" fillId="0" borderId="151" xfId="1" applyNumberFormat="1" applyFont="1" applyFill="1" applyBorder="1" applyAlignment="1">
      <alignment horizontal="right"/>
    </xf>
    <xf numFmtId="0" fontId="2" fillId="0" borderId="30" xfId="1" applyFont="1" applyFill="1" applyBorder="1" applyAlignment="1">
      <alignment vertical="center" wrapText="1"/>
    </xf>
    <xf numFmtId="0" fontId="2" fillId="0" borderId="151" xfId="1" applyFont="1" applyFill="1" applyBorder="1" applyAlignment="1">
      <alignment horizontal="center" vertical="center" wrapText="1"/>
    </xf>
    <xf numFmtId="49" fontId="2" fillId="0" borderId="30" xfId="1" applyNumberFormat="1" applyFont="1" applyFill="1" applyBorder="1" applyAlignment="1">
      <alignment horizontal="left" vertical="center"/>
    </xf>
    <xf numFmtId="49" fontId="2" fillId="0" borderId="151" xfId="1" applyNumberFormat="1" applyFont="1" applyFill="1" applyBorder="1" applyAlignment="1">
      <alignment horizontal="center"/>
    </xf>
    <xf numFmtId="0" fontId="1" fillId="0" borderId="30" xfId="1" applyFont="1" applyFill="1" applyBorder="1" applyAlignment="1">
      <alignment wrapText="1"/>
    </xf>
    <xf numFmtId="0" fontId="2" fillId="0" borderId="151" xfId="1" applyFont="1" applyFill="1" applyBorder="1" applyAlignment="1">
      <alignment horizontal="center"/>
    </xf>
    <xf numFmtId="49" fontId="1" fillId="0" borderId="101" xfId="1" applyNumberFormat="1" applyFont="1" applyFill="1" applyBorder="1" applyAlignment="1">
      <alignment horizontal="left" vertical="top"/>
    </xf>
    <xf numFmtId="49" fontId="1" fillId="0" borderId="152" xfId="1" applyNumberFormat="1" applyFont="1" applyFill="1" applyBorder="1" applyAlignment="1">
      <alignment horizontal="right"/>
    </xf>
    <xf numFmtId="1" fontId="1" fillId="0" borderId="34" xfId="1" applyNumberFormat="1" applyFont="1" applyFill="1" applyBorder="1" applyAlignment="1">
      <alignment horizontal="center" vertical="center"/>
    </xf>
    <xf numFmtId="1" fontId="1" fillId="0" borderId="153" xfId="3" applyNumberFormat="1" applyFont="1" applyFill="1" applyBorder="1" applyAlignment="1">
      <alignment horizontal="center" vertical="center" wrapText="1"/>
    </xf>
    <xf numFmtId="1" fontId="1" fillId="0" borderId="31" xfId="4" applyNumberFormat="1" applyFont="1" applyFill="1" applyBorder="1" applyAlignment="1">
      <alignment horizontal="center" vertical="center"/>
    </xf>
    <xf numFmtId="1" fontId="1" fillId="0" borderId="32" xfId="4" applyNumberFormat="1" applyFont="1" applyFill="1" applyBorder="1" applyAlignment="1">
      <alignment horizontal="center" vertical="center"/>
    </xf>
    <xf numFmtId="1" fontId="1" fillId="0" borderId="33" xfId="4" applyNumberFormat="1" applyFont="1" applyFill="1" applyBorder="1" applyAlignment="1">
      <alignment horizontal="center" vertical="center"/>
    </xf>
    <xf numFmtId="1" fontId="1" fillId="0" borderId="154" xfId="4" applyNumberFormat="1" applyFont="1" applyFill="1" applyBorder="1" applyAlignment="1">
      <alignment horizontal="center" vertical="center"/>
    </xf>
    <xf numFmtId="3" fontId="2" fillId="0" borderId="16" xfId="3" applyNumberFormat="1" applyFont="1" applyFill="1" applyBorder="1" applyAlignment="1">
      <alignment horizontal="center" vertical="center" wrapText="1"/>
    </xf>
    <xf numFmtId="3" fontId="2" fillId="0" borderId="15" xfId="4" applyNumberFormat="1" applyFont="1" applyFill="1" applyBorder="1" applyAlignment="1">
      <alignment horizontal="center" vertical="center"/>
    </xf>
    <xf numFmtId="3" fontId="2" fillId="0" borderId="16" xfId="4" applyNumberFormat="1" applyFont="1" applyFill="1" applyBorder="1" applyAlignment="1">
      <alignment horizontal="center" vertical="center"/>
    </xf>
    <xf numFmtId="3" fontId="2" fillId="0" borderId="56" xfId="4" applyNumberFormat="1" applyFont="1" applyFill="1" applyBorder="1" applyAlignment="1">
      <alignment horizontal="center" vertical="center"/>
    </xf>
    <xf numFmtId="3" fontId="2" fillId="0" borderId="39" xfId="4" applyNumberFormat="1" applyFont="1" applyFill="1" applyBorder="1" applyAlignment="1">
      <alignment horizontal="center" vertical="center"/>
    </xf>
    <xf numFmtId="3" fontId="1" fillId="0" borderId="23" xfId="3" applyNumberFormat="1" applyFont="1" applyFill="1" applyBorder="1" applyAlignment="1">
      <alignment horizontal="center" vertical="center" wrapText="1"/>
    </xf>
    <xf numFmtId="3" fontId="1" fillId="0" borderId="1" xfId="4" applyNumberFormat="1" applyFont="1" applyFill="1" applyBorder="1" applyAlignment="1">
      <alignment horizontal="center" vertical="center"/>
    </xf>
    <xf numFmtId="3" fontId="1" fillId="0" borderId="23" xfId="4" applyNumberFormat="1" applyFont="1" applyFill="1" applyBorder="1" applyAlignment="1">
      <alignment horizontal="center" vertical="center"/>
    </xf>
    <xf numFmtId="3" fontId="1" fillId="0" borderId="47" xfId="4" applyNumberFormat="1" applyFont="1" applyFill="1" applyBorder="1" applyAlignment="1">
      <alignment horizontal="center" vertical="center"/>
    </xf>
    <xf numFmtId="3" fontId="1" fillId="0" borderId="40" xfId="4" applyNumberFormat="1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/>
    </xf>
    <xf numFmtId="3" fontId="2" fillId="0" borderId="23" xfId="4" applyNumberFormat="1" applyFont="1" applyFill="1" applyBorder="1" applyAlignment="1">
      <alignment horizontal="center" vertical="center"/>
    </xf>
    <xf numFmtId="3" fontId="2" fillId="0" borderId="47" xfId="4" applyNumberFormat="1" applyFont="1" applyFill="1" applyBorder="1" applyAlignment="1">
      <alignment horizontal="center" vertical="center"/>
    </xf>
    <xf numFmtId="3" fontId="2" fillId="0" borderId="40" xfId="4" applyNumberFormat="1" applyFont="1" applyFill="1" applyBorder="1" applyAlignment="1">
      <alignment horizontal="center" vertical="center"/>
    </xf>
    <xf numFmtId="3" fontId="2" fillId="0" borderId="23" xfId="3" applyNumberFormat="1" applyFont="1" applyFill="1" applyBorder="1" applyAlignment="1">
      <alignment horizontal="center" vertical="center" wrapText="1"/>
    </xf>
    <xf numFmtId="3" fontId="1" fillId="0" borderId="33" xfId="3" applyNumberFormat="1" applyFont="1" applyFill="1" applyBorder="1" applyAlignment="1">
      <alignment horizontal="center" vertical="center" wrapText="1"/>
    </xf>
    <xf numFmtId="3" fontId="1" fillId="0" borderId="32" xfId="4" applyNumberFormat="1" applyFont="1" applyFill="1" applyBorder="1" applyAlignment="1">
      <alignment horizontal="center" vertical="center"/>
    </xf>
    <xf numFmtId="3" fontId="1" fillId="0" borderId="33" xfId="4" applyNumberFormat="1" applyFont="1" applyFill="1" applyBorder="1" applyAlignment="1">
      <alignment horizontal="center" vertical="center"/>
    </xf>
    <xf numFmtId="3" fontId="1" fillId="0" borderId="155" xfId="4" applyNumberFormat="1" applyFont="1" applyFill="1" applyBorder="1" applyAlignment="1">
      <alignment horizontal="center" vertical="center"/>
    </xf>
    <xf numFmtId="3" fontId="1" fillId="0" borderId="51" xfId="4" applyNumberFormat="1" applyFont="1" applyFill="1" applyBorder="1" applyAlignment="1">
      <alignment horizontal="center" vertical="center"/>
    </xf>
    <xf numFmtId="1" fontId="2" fillId="3" borderId="20" xfId="3" applyNumberFormat="1" applyFont="1" applyFill="1" applyBorder="1" applyAlignment="1">
      <alignment horizontal="center" vertical="center" wrapText="1"/>
    </xf>
    <xf numFmtId="1" fontId="2" fillId="3" borderId="28" xfId="3" applyNumberFormat="1" applyFont="1" applyFill="1" applyBorder="1" applyAlignment="1">
      <alignment horizontal="center" vertical="center" wrapText="1"/>
    </xf>
    <xf numFmtId="1" fontId="2" fillId="3" borderId="156" xfId="3" applyNumberFormat="1" applyFont="1" applyFill="1" applyBorder="1" applyAlignment="1">
      <alignment horizontal="center" vertical="center" wrapText="1"/>
    </xf>
    <xf numFmtId="1" fontId="2" fillId="3" borderId="21" xfId="3" applyNumberFormat="1" applyFont="1" applyFill="1" applyBorder="1" applyAlignment="1">
      <alignment horizontal="center" vertical="center" wrapText="1"/>
    </xf>
    <xf numFmtId="1" fontId="2" fillId="0" borderId="63" xfId="3" applyNumberFormat="1" applyFont="1" applyFill="1" applyBorder="1" applyAlignment="1">
      <alignment horizontal="center" vertical="center" wrapText="1"/>
    </xf>
    <xf numFmtId="1" fontId="2" fillId="0" borderId="18" xfId="4" applyNumberFormat="1" applyFont="1" applyFill="1" applyBorder="1" applyAlignment="1">
      <alignment horizontal="center" vertical="center"/>
    </xf>
    <xf numFmtId="1" fontId="2" fillId="0" borderId="119" xfId="3" applyNumberFormat="1" applyFont="1" applyFill="1" applyBorder="1" applyAlignment="1">
      <alignment horizontal="center" vertical="center" wrapText="1"/>
    </xf>
    <xf numFmtId="1" fontId="2" fillId="0" borderId="25" xfId="4" applyNumberFormat="1" applyFont="1" applyFill="1" applyBorder="1" applyAlignment="1">
      <alignment horizontal="center" vertical="center"/>
    </xf>
    <xf numFmtId="1" fontId="1" fillId="0" borderId="22" xfId="4" applyNumberFormat="1" applyFont="1" applyFill="1" applyBorder="1" applyAlignment="1">
      <alignment horizontal="center" vertical="center"/>
    </xf>
    <xf numFmtId="1" fontId="1" fillId="0" borderId="1" xfId="4" applyNumberFormat="1" applyFont="1" applyFill="1" applyBorder="1" applyAlignment="1">
      <alignment horizontal="center" vertical="center"/>
    </xf>
    <xf numFmtId="1" fontId="1" fillId="0" borderId="23" xfId="4" applyNumberFormat="1" applyFont="1" applyFill="1" applyBorder="1" applyAlignment="1">
      <alignment horizontal="center" vertical="center"/>
    </xf>
    <xf numFmtId="1" fontId="1" fillId="0" borderId="25" xfId="4" applyNumberFormat="1" applyFont="1" applyFill="1" applyBorder="1" applyAlignment="1">
      <alignment horizontal="center" vertical="center"/>
    </xf>
    <xf numFmtId="1" fontId="2" fillId="0" borderId="157" xfId="3" applyNumberFormat="1" applyFont="1" applyFill="1" applyBorder="1" applyAlignment="1">
      <alignment horizontal="center" vertical="center" wrapText="1"/>
    </xf>
    <xf numFmtId="1" fontId="2" fillId="0" borderId="22" xfId="4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center" vertical="center"/>
    </xf>
    <xf numFmtId="1" fontId="2" fillId="0" borderId="23" xfId="4" applyNumberFormat="1" applyFont="1" applyFill="1" applyBorder="1" applyAlignment="1">
      <alignment horizontal="center" vertical="center"/>
    </xf>
    <xf numFmtId="1" fontId="2" fillId="0" borderId="92" xfId="3" applyNumberFormat="1" applyFont="1" applyFill="1" applyBorder="1" applyAlignment="1">
      <alignment horizontal="center" vertical="center" wrapText="1"/>
    </xf>
    <xf numFmtId="1" fontId="1" fillId="0" borderId="24" xfId="1" applyNumberFormat="1" applyFont="1" applyFill="1" applyBorder="1" applyAlignment="1">
      <alignment horizontal="center" vertical="center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Alignment="1"/>
    <xf numFmtId="0" fontId="11" fillId="0" borderId="0" xfId="4" applyFont="1" applyFill="1"/>
    <xf numFmtId="0" fontId="11" fillId="0" borderId="0" xfId="4" applyFont="1" applyFill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4" applyNumberFormat="1" applyFont="1" applyFill="1" applyBorder="1" applyAlignment="1">
      <alignment vertical="center"/>
    </xf>
    <xf numFmtId="1" fontId="2" fillId="0" borderId="104" xfId="3" applyNumberFormat="1" applyFont="1" applyFill="1" applyBorder="1" applyAlignment="1">
      <alignment horizontal="center" vertical="center" wrapText="1"/>
    </xf>
    <xf numFmtId="1" fontId="2" fillId="0" borderId="93" xfId="3" applyNumberFormat="1" applyFont="1" applyFill="1" applyBorder="1" applyAlignment="1">
      <alignment vertical="center" wrapText="1"/>
    </xf>
    <xf numFmtId="1" fontId="2" fillId="0" borderId="158" xfId="3" applyNumberFormat="1" applyFont="1" applyFill="1" applyBorder="1" applyAlignment="1">
      <alignment horizontal="center" vertical="center" wrapText="1"/>
    </xf>
    <xf numFmtId="1" fontId="2" fillId="0" borderId="159" xfId="3" applyNumberFormat="1" applyFont="1" applyFill="1" applyBorder="1" applyAlignment="1">
      <alignment horizontal="center" vertical="center" wrapText="1"/>
    </xf>
    <xf numFmtId="1" fontId="2" fillId="0" borderId="160" xfId="3" applyNumberFormat="1" applyFont="1" applyFill="1" applyBorder="1" applyAlignment="1">
      <alignment horizontal="center" vertical="center" wrapText="1"/>
    </xf>
    <xf numFmtId="1" fontId="2" fillId="0" borderId="105" xfId="3" applyNumberFormat="1" applyFont="1" applyFill="1" applyBorder="1" applyAlignment="1">
      <alignment horizontal="center" vertical="center" wrapText="1"/>
    </xf>
    <xf numFmtId="1" fontId="2" fillId="0" borderId="161" xfId="3" applyNumberFormat="1" applyFont="1" applyFill="1" applyBorder="1" applyAlignment="1">
      <alignment horizontal="center" vertical="center" wrapText="1"/>
    </xf>
    <xf numFmtId="1" fontId="2" fillId="3" borderId="162" xfId="3" applyNumberFormat="1" applyFont="1" applyFill="1" applyBorder="1" applyAlignment="1">
      <alignment horizontal="center" vertical="center" wrapText="1"/>
    </xf>
    <xf numFmtId="1" fontId="2" fillId="3" borderId="119" xfId="3" applyNumberFormat="1" applyFont="1" applyFill="1" applyBorder="1" applyAlignment="1">
      <alignment horizontal="center" vertical="center" wrapText="1"/>
    </xf>
    <xf numFmtId="1" fontId="2" fillId="3" borderId="22" xfId="3" applyNumberFormat="1" applyFont="1" applyFill="1" applyBorder="1" applyAlignment="1">
      <alignment horizontal="center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1" fontId="2" fillId="3" borderId="47" xfId="3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/>
    </xf>
    <xf numFmtId="1" fontId="2" fillId="0" borderId="24" xfId="1" applyNumberFormat="1" applyFont="1" applyFill="1" applyBorder="1" applyAlignment="1">
      <alignment horizontal="center" vertical="center"/>
    </xf>
    <xf numFmtId="1" fontId="2" fillId="0" borderId="162" xfId="1" applyNumberFormat="1" applyFont="1" applyFill="1" applyBorder="1" applyAlignment="1">
      <alignment horizontal="center" vertical="center"/>
    </xf>
    <xf numFmtId="1" fontId="2" fillId="0" borderId="22" xfId="3" applyNumberFormat="1" applyFont="1" applyFill="1" applyBorder="1" applyAlignment="1">
      <alignment horizontal="center" vertical="center" wrapText="1"/>
    </xf>
    <xf numFmtId="49" fontId="2" fillId="0" borderId="22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center" vertical="top"/>
    </xf>
    <xf numFmtId="1" fontId="2" fillId="0" borderId="47" xfId="4" applyNumberFormat="1" applyFont="1" applyFill="1" applyBorder="1" applyAlignment="1">
      <alignment horizontal="center" vertical="center"/>
    </xf>
    <xf numFmtId="1" fontId="2" fillId="0" borderId="40" xfId="4" applyNumberFormat="1" applyFont="1" applyFill="1" applyBorder="1" applyAlignment="1">
      <alignment horizontal="center" vertical="center"/>
    </xf>
    <xf numFmtId="1" fontId="1" fillId="0" borderId="162" xfId="1" applyNumberFormat="1" applyFont="1" applyFill="1" applyBorder="1" applyAlignment="1">
      <alignment horizontal="center" vertical="center"/>
    </xf>
    <xf numFmtId="1" fontId="1" fillId="0" borderId="47" xfId="4" applyNumberFormat="1" applyFont="1" applyFill="1" applyBorder="1" applyAlignment="1">
      <alignment horizontal="center" vertical="center"/>
    </xf>
    <xf numFmtId="1" fontId="1" fillId="0" borderId="40" xfId="4" applyNumberFormat="1" applyFont="1" applyFill="1" applyBorder="1" applyAlignment="1">
      <alignment horizontal="center" vertical="center"/>
    </xf>
    <xf numFmtId="1" fontId="1" fillId="0" borderId="94" xfId="1" applyNumberFormat="1" applyFont="1" applyFill="1" applyBorder="1" applyAlignment="1">
      <alignment horizontal="center" vertical="center"/>
    </xf>
    <xf numFmtId="1" fontId="1" fillId="0" borderId="140" xfId="1" applyNumberFormat="1" applyFont="1" applyFill="1" applyBorder="1" applyAlignment="1">
      <alignment horizontal="center" vertical="center"/>
    </xf>
    <xf numFmtId="49" fontId="12" fillId="0" borderId="163" xfId="1" applyNumberFormat="1" applyFont="1" applyFill="1" applyBorder="1" applyAlignment="1">
      <alignment horizontal="left" vertical="top"/>
    </xf>
    <xf numFmtId="0" fontId="13" fillId="0" borderId="164" xfId="1" applyFont="1" applyFill="1" applyBorder="1" applyAlignment="1">
      <alignment horizontal="center"/>
    </xf>
    <xf numFmtId="1" fontId="1" fillId="0" borderId="155" xfId="4" applyNumberFormat="1" applyFont="1" applyFill="1" applyBorder="1" applyAlignment="1">
      <alignment horizontal="center" vertical="center"/>
    </xf>
    <xf numFmtId="1" fontId="1" fillId="0" borderId="51" xfId="4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vertical="center" wrapText="1"/>
    </xf>
    <xf numFmtId="0" fontId="2" fillId="0" borderId="16" xfId="1" applyFont="1" applyFill="1" applyBorder="1" applyAlignment="1">
      <alignment horizontal="center" vertical="center" wrapText="1"/>
    </xf>
    <xf numFmtId="1" fontId="2" fillId="0" borderId="17" xfId="1" applyNumberFormat="1" applyFont="1" applyFill="1" applyBorder="1" applyAlignment="1">
      <alignment horizontal="center" vertical="center" wrapText="1"/>
    </xf>
    <xf numFmtId="1" fontId="2" fillId="0" borderId="165" xfId="1" applyNumberFormat="1" applyFont="1" applyFill="1" applyBorder="1" applyAlignment="1">
      <alignment horizontal="center" vertical="center" wrapText="1"/>
    </xf>
    <xf numFmtId="1" fontId="2" fillId="0" borderId="166" xfId="3" applyNumberFormat="1" applyFont="1" applyFill="1" applyBorder="1" applyAlignment="1">
      <alignment horizontal="center" vertical="center" wrapText="1"/>
    </xf>
    <xf numFmtId="1" fontId="2" fillId="0" borderId="14" xfId="4" applyNumberFormat="1" applyFont="1" applyFill="1" applyBorder="1" applyAlignment="1">
      <alignment horizontal="center" vertical="center"/>
    </xf>
    <xf numFmtId="1" fontId="2" fillId="0" borderId="15" xfId="4" applyNumberFormat="1" applyFont="1" applyFill="1" applyBorder="1" applyAlignment="1">
      <alignment horizontal="center" vertical="center"/>
    </xf>
    <xf numFmtId="1" fontId="2" fillId="0" borderId="16" xfId="4" applyNumberFormat="1" applyFont="1" applyFill="1" applyBorder="1" applyAlignment="1">
      <alignment horizontal="center" vertical="center"/>
    </xf>
    <xf numFmtId="1" fontId="2" fillId="0" borderId="56" xfId="4" applyNumberFormat="1" applyFont="1" applyFill="1" applyBorder="1" applyAlignment="1">
      <alignment horizontal="center" vertical="center"/>
    </xf>
    <xf numFmtId="1" fontId="2" fillId="0" borderId="39" xfId="4" applyNumberFormat="1" applyFont="1" applyFill="1" applyBorder="1" applyAlignment="1">
      <alignment horizontal="center" vertical="center"/>
    </xf>
    <xf numFmtId="0" fontId="11" fillId="0" borderId="0" xfId="4" applyFont="1" applyFill="1" applyAlignment="1">
      <alignment wrapText="1"/>
    </xf>
    <xf numFmtId="1" fontId="13" fillId="0" borderId="0" xfId="4" applyNumberFormat="1" applyFont="1" applyFill="1" applyBorder="1" applyAlignment="1"/>
    <xf numFmtId="1" fontId="2" fillId="0" borderId="167" xfId="3" applyNumberFormat="1" applyFont="1" applyFill="1" applyBorder="1" applyAlignment="1">
      <alignment horizontal="center" vertical="center" wrapText="1"/>
    </xf>
    <xf numFmtId="1" fontId="2" fillId="3" borderId="157" xfId="3" applyNumberFormat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/>
    </xf>
    <xf numFmtId="1" fontId="2" fillId="0" borderId="157" xfId="1" applyNumberFormat="1" applyFont="1" applyFill="1" applyBorder="1" applyAlignment="1">
      <alignment horizontal="center"/>
    </xf>
    <xf numFmtId="1" fontId="2" fillId="0" borderId="157" xfId="1" applyNumberFormat="1" applyFont="1" applyFill="1" applyBorder="1" applyAlignment="1">
      <alignment horizontal="center" vertical="top"/>
    </xf>
    <xf numFmtId="1" fontId="2" fillId="0" borderId="24" xfId="1" applyNumberFormat="1" applyFont="1" applyFill="1" applyBorder="1" applyAlignment="1">
      <alignment horizontal="center" vertical="top"/>
    </xf>
    <xf numFmtId="1" fontId="1" fillId="0" borderId="24" xfId="1" applyNumberFormat="1" applyFont="1" applyFill="1" applyBorder="1" applyAlignment="1">
      <alignment horizontal="center"/>
    </xf>
    <xf numFmtId="1" fontId="1" fillId="0" borderId="157" xfId="1" applyNumberFormat="1" applyFont="1" applyFill="1" applyBorder="1" applyAlignment="1">
      <alignment horizontal="center"/>
    </xf>
    <xf numFmtId="1" fontId="1" fillId="0" borderId="94" xfId="1" applyNumberFormat="1" applyFont="1" applyFill="1" applyBorder="1" applyAlignment="1">
      <alignment horizontal="center"/>
    </xf>
    <xf numFmtId="49" fontId="2" fillId="0" borderId="163" xfId="1" applyNumberFormat="1" applyFont="1" applyFill="1" applyBorder="1" applyAlignment="1">
      <alignment horizontal="left" vertical="top"/>
    </xf>
    <xf numFmtId="1" fontId="13" fillId="0" borderId="94" xfId="1" applyNumberFormat="1" applyFont="1" applyFill="1" applyBorder="1" applyAlignment="1">
      <alignment horizontal="center"/>
    </xf>
    <xf numFmtId="1" fontId="2" fillId="0" borderId="157" xfId="1" applyNumberFormat="1" applyFont="1" applyFill="1" applyBorder="1" applyAlignment="1">
      <alignment horizontal="center" vertical="center"/>
    </xf>
    <xf numFmtId="1" fontId="1" fillId="0" borderId="24" xfId="1" applyNumberFormat="1" applyFont="1" applyFill="1" applyBorder="1" applyAlignment="1">
      <alignment horizontal="right"/>
    </xf>
    <xf numFmtId="0" fontId="2" fillId="0" borderId="23" xfId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 vertical="center" wrapText="1"/>
    </xf>
    <xf numFmtId="1" fontId="2" fillId="0" borderId="157" xfId="1" applyNumberFormat="1" applyFont="1" applyFill="1" applyBorder="1" applyAlignment="1">
      <alignment horizontal="center" vertical="center" wrapText="1"/>
    </xf>
    <xf numFmtId="1" fontId="1" fillId="0" borderId="34" xfId="1" applyNumberFormat="1" applyFont="1" applyFill="1" applyBorder="1" applyAlignment="1">
      <alignment horizontal="center"/>
    </xf>
    <xf numFmtId="49" fontId="1" fillId="0" borderId="33" xfId="1" applyNumberFormat="1" applyFont="1" applyFill="1" applyBorder="1" applyAlignment="1">
      <alignment horizontal="center"/>
    </xf>
    <xf numFmtId="3" fontId="2" fillId="0" borderId="22" xfId="4" applyNumberFormat="1" applyFont="1" applyFill="1" applyBorder="1" applyAlignment="1">
      <alignment horizontal="center" vertical="center"/>
    </xf>
    <xf numFmtId="1" fontId="1" fillId="5" borderId="26" xfId="1" applyNumberFormat="1" applyFont="1" applyFill="1" applyBorder="1" applyAlignment="1">
      <alignment horizontal="center"/>
    </xf>
    <xf numFmtId="0" fontId="2" fillId="5" borderId="22" xfId="1" applyFont="1" applyFill="1" applyBorder="1"/>
    <xf numFmtId="49" fontId="2" fillId="5" borderId="1" xfId="1" applyNumberFormat="1" applyFont="1" applyFill="1" applyBorder="1" applyAlignment="1">
      <alignment horizontal="right"/>
    </xf>
    <xf numFmtId="1" fontId="2" fillId="5" borderId="23" xfId="3" applyNumberFormat="1" applyFont="1" applyFill="1" applyBorder="1" applyAlignment="1">
      <alignment horizontal="center" vertical="center" wrapText="1"/>
    </xf>
    <xf numFmtId="2" fontId="2" fillId="5" borderId="23" xfId="3" applyNumberFormat="1" applyFont="1" applyFill="1" applyBorder="1" applyAlignment="1">
      <alignment horizontal="center" vertical="center" wrapText="1"/>
    </xf>
    <xf numFmtId="1" fontId="2" fillId="5" borderId="24" xfId="3" applyNumberFormat="1" applyFont="1" applyFill="1" applyBorder="1" applyAlignment="1">
      <alignment horizontal="center" vertical="center" wrapText="1"/>
    </xf>
    <xf numFmtId="0" fontId="1" fillId="5" borderId="0" xfId="4" applyFont="1" applyFill="1"/>
    <xf numFmtId="49" fontId="2" fillId="5" borderId="22" xfId="1" applyNumberFormat="1" applyFont="1" applyFill="1" applyBorder="1" applyAlignment="1">
      <alignment vertical="center" wrapText="1"/>
    </xf>
    <xf numFmtId="49" fontId="2" fillId="5" borderId="1" xfId="1" applyNumberFormat="1" applyFont="1" applyFill="1" applyBorder="1" applyAlignment="1">
      <alignment horizontal="right" vertical="center"/>
    </xf>
    <xf numFmtId="1" fontId="2" fillId="5" borderId="23" xfId="1" applyNumberFormat="1" applyFont="1" applyFill="1" applyBorder="1" applyAlignment="1">
      <alignment horizontal="center" vertical="center"/>
    </xf>
    <xf numFmtId="49" fontId="2" fillId="6" borderId="22" xfId="1" applyNumberFormat="1" applyFont="1" applyFill="1" applyBorder="1" applyAlignment="1">
      <alignment horizontal="left" vertical="top"/>
    </xf>
    <xf numFmtId="49" fontId="2" fillId="6" borderId="1" xfId="1" applyNumberFormat="1" applyFont="1" applyFill="1" applyBorder="1" applyAlignment="1">
      <alignment horizontal="right"/>
    </xf>
    <xf numFmtId="1" fontId="2" fillId="6" borderId="23" xfId="1" applyNumberFormat="1" applyFont="1" applyFill="1" applyBorder="1" applyAlignment="1">
      <alignment horizontal="center" vertical="center"/>
    </xf>
    <xf numFmtId="1" fontId="2" fillId="6" borderId="23" xfId="3" applyNumberFormat="1" applyFont="1" applyFill="1" applyBorder="1" applyAlignment="1">
      <alignment horizontal="center" vertical="center" wrapText="1"/>
    </xf>
    <xf numFmtId="1" fontId="2" fillId="6" borderId="24" xfId="3" applyNumberFormat="1" applyFont="1" applyFill="1" applyBorder="1" applyAlignment="1">
      <alignment horizontal="center" vertical="center" wrapText="1"/>
    </xf>
    <xf numFmtId="0" fontId="14" fillId="0" borderId="54" xfId="1" applyNumberFormat="1" applyFont="1" applyBorder="1" applyAlignment="1">
      <alignment horizontal="center" vertical="center"/>
    </xf>
    <xf numFmtId="1" fontId="2" fillId="7" borderId="132" xfId="3" applyNumberFormat="1" applyFont="1" applyFill="1" applyBorder="1" applyAlignment="1">
      <alignment horizontal="center" vertical="center" wrapText="1"/>
    </xf>
    <xf numFmtId="1" fontId="2" fillId="8" borderId="168" xfId="3" applyNumberFormat="1" applyFont="1" applyFill="1" applyBorder="1" applyAlignment="1">
      <alignment horizontal="center" vertical="center" wrapText="1"/>
    </xf>
    <xf numFmtId="1" fontId="2" fillId="8" borderId="98" xfId="3" applyNumberFormat="1" applyFont="1" applyFill="1" applyBorder="1" applyAlignment="1">
      <alignment horizontal="center" vertical="center" wrapText="1"/>
    </xf>
    <xf numFmtId="1" fontId="2" fillId="8" borderId="169" xfId="3" applyNumberFormat="1" applyFont="1" applyFill="1" applyBorder="1" applyAlignment="1">
      <alignment horizontal="center" vertical="center" wrapText="1"/>
    </xf>
    <xf numFmtId="1" fontId="1" fillId="0" borderId="170" xfId="1" applyNumberFormat="1" applyFont="1" applyFill="1" applyBorder="1" applyAlignment="1">
      <alignment horizontal="center"/>
    </xf>
    <xf numFmtId="1" fontId="2" fillId="0" borderId="170" xfId="3" applyNumberFormat="1" applyFont="1" applyFill="1" applyBorder="1" applyAlignment="1">
      <alignment horizontal="center" vertical="center" wrapText="1"/>
    </xf>
    <xf numFmtId="1" fontId="2" fillId="0" borderId="170" xfId="3" applyNumberFormat="1" applyFont="1" applyFill="1" applyBorder="1" applyAlignment="1">
      <alignment vertical="center" wrapText="1"/>
    </xf>
    <xf numFmtId="1" fontId="2" fillId="3" borderId="170" xfId="3" applyNumberFormat="1" applyFont="1" applyFill="1" applyBorder="1" applyAlignment="1">
      <alignment vertical="center" wrapText="1"/>
    </xf>
    <xf numFmtId="1" fontId="2" fillId="8" borderId="170" xfId="3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vertical="center"/>
    </xf>
    <xf numFmtId="0" fontId="2" fillId="0" borderId="170" xfId="1" applyFont="1" applyFill="1" applyBorder="1" applyAlignment="1">
      <alignment horizontal="center"/>
    </xf>
    <xf numFmtId="1" fontId="1" fillId="0" borderId="170" xfId="3" applyNumberFormat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horizontal="right" vertical="center" wrapText="1"/>
    </xf>
    <xf numFmtId="49" fontId="2" fillId="0" borderId="170" xfId="1" applyNumberFormat="1" applyFont="1" applyFill="1" applyBorder="1" applyAlignment="1">
      <alignment horizontal="center" vertical="top"/>
    </xf>
    <xf numFmtId="49" fontId="2" fillId="0" borderId="170" xfId="1" applyNumberFormat="1" applyFont="1" applyFill="1" applyBorder="1" applyAlignment="1">
      <alignment horizontal="left" vertical="top"/>
    </xf>
    <xf numFmtId="0" fontId="1" fillId="0" borderId="170" xfId="1" applyFont="1" applyFill="1" applyBorder="1"/>
    <xf numFmtId="49" fontId="1" fillId="0" borderId="170" xfId="1" applyNumberFormat="1" applyFont="1" applyFill="1" applyBorder="1" applyAlignment="1">
      <alignment horizontal="center"/>
    </xf>
    <xf numFmtId="0" fontId="1" fillId="0" borderId="170" xfId="4" applyFont="1" applyFill="1" applyBorder="1"/>
    <xf numFmtId="0" fontId="1" fillId="0" borderId="170" xfId="4" applyFont="1" applyFill="1" applyBorder="1" applyAlignment="1">
      <alignment horizontal="center"/>
    </xf>
    <xf numFmtId="49" fontId="10" fillId="0" borderId="170" xfId="1" applyNumberFormat="1" applyFont="1" applyFill="1" applyBorder="1" applyAlignment="1">
      <alignment horizontal="left" vertical="top"/>
    </xf>
    <xf numFmtId="0" fontId="10" fillId="0" borderId="170" xfId="1" applyFont="1" applyFill="1" applyBorder="1" applyAlignment="1">
      <alignment horizontal="center"/>
    </xf>
    <xf numFmtId="49" fontId="2" fillId="0" borderId="170" xfId="1" applyNumberFormat="1" applyFont="1" applyFill="1" applyBorder="1" applyAlignment="1">
      <alignment horizontal="center" vertical="center"/>
    </xf>
    <xf numFmtId="49" fontId="1" fillId="0" borderId="170" xfId="1" applyNumberFormat="1" applyFont="1" applyFill="1" applyBorder="1" applyAlignment="1">
      <alignment horizontal="left" vertical="top"/>
    </xf>
    <xf numFmtId="49" fontId="1" fillId="0" borderId="170" xfId="1" applyNumberFormat="1" applyFont="1" applyFill="1" applyBorder="1" applyAlignment="1">
      <alignment horizontal="right"/>
    </xf>
    <xf numFmtId="0" fontId="2" fillId="0" borderId="170" xfId="1" applyFont="1" applyFill="1" applyBorder="1" applyAlignment="1">
      <alignment vertical="center" wrapText="1"/>
    </xf>
    <xf numFmtId="0" fontId="2" fillId="0" borderId="170" xfId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horizontal="left" vertical="center"/>
    </xf>
    <xf numFmtId="49" fontId="2" fillId="0" borderId="170" xfId="1" applyNumberFormat="1" applyFont="1" applyFill="1" applyBorder="1" applyAlignment="1">
      <alignment horizontal="center"/>
    </xf>
    <xf numFmtId="0" fontId="1" fillId="0" borderId="170" xfId="1" applyFont="1" applyFill="1" applyBorder="1" applyAlignment="1">
      <alignment wrapText="1"/>
    </xf>
    <xf numFmtId="179" fontId="2" fillId="0" borderId="170" xfId="5" applyFont="1" applyFill="1" applyBorder="1" applyAlignment="1" applyProtection="1">
      <alignment horizontal="left" vertical="top"/>
    </xf>
    <xf numFmtId="49" fontId="2" fillId="0" borderId="170" xfId="1" applyNumberFormat="1" applyFont="1" applyFill="1" applyBorder="1" applyAlignment="1">
      <alignment horizontal="right"/>
    </xf>
    <xf numFmtId="0" fontId="2" fillId="0" borderId="170" xfId="1" applyFont="1" applyFill="1" applyBorder="1" applyAlignment="1"/>
    <xf numFmtId="1" fontId="1" fillId="5" borderId="170" xfId="1" applyNumberFormat="1" applyFont="1" applyFill="1" applyBorder="1" applyAlignment="1">
      <alignment horizontal="center"/>
    </xf>
    <xf numFmtId="0" fontId="2" fillId="5" borderId="170" xfId="1" applyFont="1" applyFill="1" applyBorder="1"/>
    <xf numFmtId="49" fontId="2" fillId="5" borderId="170" xfId="1" applyNumberFormat="1" applyFont="1" applyFill="1" applyBorder="1" applyAlignment="1">
      <alignment horizontal="right"/>
    </xf>
    <xf numFmtId="0" fontId="2" fillId="0" borderId="170" xfId="1" applyFont="1" applyFill="1" applyBorder="1" applyAlignment="1">
      <alignment horizontal="right"/>
    </xf>
    <xf numFmtId="1" fontId="2" fillId="7" borderId="170" xfId="3" applyNumberFormat="1" applyFont="1" applyFill="1" applyBorder="1" applyAlignment="1">
      <alignment vertical="center" wrapText="1"/>
    </xf>
    <xf numFmtId="1" fontId="2" fillId="7" borderId="1" xfId="3" applyNumberFormat="1" applyFont="1" applyFill="1" applyBorder="1" applyAlignment="1">
      <alignment vertical="center" wrapText="1"/>
    </xf>
    <xf numFmtId="1" fontId="1" fillId="5" borderId="23" xfId="3" applyNumberFormat="1" applyFont="1" applyFill="1" applyBorder="1" applyAlignment="1">
      <alignment horizontal="center" vertical="center" wrapText="1"/>
    </xf>
    <xf numFmtId="1" fontId="1" fillId="0" borderId="97" xfId="3" applyNumberFormat="1" applyFont="1" applyFill="1" applyBorder="1" applyAlignment="1">
      <alignment horizontal="center" vertical="center" wrapText="1"/>
    </xf>
    <xf numFmtId="1" fontId="1" fillId="0" borderId="20" xfId="3" applyNumberFormat="1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>
      <alignment horizontal="center"/>
    </xf>
    <xf numFmtId="49" fontId="2" fillId="0" borderId="33" xfId="1" applyNumberFormat="1" applyFont="1" applyFill="1" applyBorder="1" applyAlignment="1">
      <alignment horizontal="center"/>
    </xf>
    <xf numFmtId="2" fontId="2" fillId="0" borderId="23" xfId="1" applyNumberFormat="1" applyFont="1" applyFill="1" applyBorder="1" applyAlignment="1">
      <alignment horizontal="center"/>
    </xf>
    <xf numFmtId="2" fontId="1" fillId="0" borderId="23" xfId="1" applyNumberFormat="1" applyFont="1" applyFill="1" applyBorder="1" applyAlignment="1">
      <alignment horizontal="center"/>
    </xf>
    <xf numFmtId="2" fontId="1" fillId="4" borderId="23" xfId="1" applyNumberFormat="1" applyFont="1" applyFill="1" applyBorder="1" applyAlignment="1">
      <alignment horizontal="center"/>
    </xf>
    <xf numFmtId="1" fontId="2" fillId="0" borderId="171" xfId="3" applyNumberFormat="1" applyFont="1" applyFill="1" applyBorder="1" applyAlignment="1">
      <alignment horizontal="center" vertical="center" wrapText="1"/>
    </xf>
    <xf numFmtId="2" fontId="2" fillId="0" borderId="16" xfId="1" applyNumberFormat="1" applyFont="1" applyFill="1" applyBorder="1" applyAlignment="1">
      <alignment horizontal="center"/>
    </xf>
    <xf numFmtId="1" fontId="1" fillId="6" borderId="23" xfId="3" applyNumberFormat="1" applyFont="1" applyFill="1" applyBorder="1" applyAlignment="1">
      <alignment horizontal="center" vertical="center" wrapText="1"/>
    </xf>
    <xf numFmtId="0" fontId="2" fillId="2" borderId="172" xfId="4" applyFont="1" applyFill="1" applyBorder="1" applyAlignment="1">
      <alignment horizontal="center" vertical="center"/>
    </xf>
    <xf numFmtId="1" fontId="1" fillId="0" borderId="173" xfId="1" applyNumberFormat="1" applyFont="1" applyFill="1" applyBorder="1" applyAlignment="1">
      <alignment horizontal="center"/>
    </xf>
    <xf numFmtId="1" fontId="2" fillId="0" borderId="174" xfId="3" applyNumberFormat="1" applyFont="1" applyFill="1" applyBorder="1" applyAlignment="1">
      <alignment horizontal="center" vertical="center" wrapText="1"/>
    </xf>
    <xf numFmtId="1" fontId="1" fillId="3" borderId="175" xfId="3" applyNumberFormat="1" applyFont="1" applyFill="1" applyBorder="1" applyAlignment="1">
      <alignment horizontal="center" vertical="center" wrapText="1"/>
    </xf>
    <xf numFmtId="1" fontId="2" fillId="8" borderId="176" xfId="3" applyNumberFormat="1" applyFont="1" applyFill="1" applyBorder="1" applyAlignment="1">
      <alignment horizontal="center" vertical="center" wrapText="1"/>
    </xf>
    <xf numFmtId="1" fontId="1" fillId="0" borderId="175" xfId="1" applyNumberFormat="1" applyFont="1" applyFill="1" applyBorder="1" applyAlignment="1">
      <alignment horizontal="center"/>
    </xf>
    <xf numFmtId="1" fontId="2" fillId="0" borderId="177" xfId="3" applyNumberFormat="1" applyFont="1" applyFill="1" applyBorder="1" applyAlignment="1">
      <alignment horizontal="center" vertical="center" wrapText="1"/>
    </xf>
    <xf numFmtId="1" fontId="1" fillId="0" borderId="178" xfId="3" applyNumberFormat="1" applyFont="1" applyFill="1" applyBorder="1" applyAlignment="1">
      <alignment horizontal="center" vertical="center" wrapText="1"/>
    </xf>
    <xf numFmtId="1" fontId="2" fillId="0" borderId="179" xfId="3" applyNumberFormat="1" applyFont="1" applyFill="1" applyBorder="1" applyAlignment="1">
      <alignment horizontal="center" vertical="center" wrapText="1"/>
    </xf>
    <xf numFmtId="1" fontId="2" fillId="0" borderId="180" xfId="3" applyNumberFormat="1" applyFont="1" applyFill="1" applyBorder="1" applyAlignment="1">
      <alignment horizontal="center" vertical="center" wrapText="1"/>
    </xf>
    <xf numFmtId="1" fontId="1" fillId="0" borderId="180" xfId="3" applyNumberFormat="1" applyFont="1" applyFill="1" applyBorder="1" applyAlignment="1">
      <alignment horizontal="center" vertical="center" wrapText="1"/>
    </xf>
    <xf numFmtId="1" fontId="1" fillId="0" borderId="172" xfId="3" applyNumberFormat="1" applyFont="1" applyFill="1" applyBorder="1" applyAlignment="1">
      <alignment horizontal="center" vertical="center" wrapText="1"/>
    </xf>
    <xf numFmtId="1" fontId="2" fillId="0" borderId="181" xfId="3" applyNumberFormat="1" applyFont="1" applyFill="1" applyBorder="1" applyAlignment="1">
      <alignment horizontal="center" vertical="center" wrapText="1"/>
    </xf>
    <xf numFmtId="1" fontId="1" fillId="0" borderId="182" xfId="3" applyNumberFormat="1" applyFont="1" applyFill="1" applyBorder="1" applyAlignment="1">
      <alignment horizontal="center" vertical="center" wrapText="1"/>
    </xf>
    <xf numFmtId="1" fontId="1" fillId="0" borderId="174" xfId="3" applyNumberFormat="1" applyFont="1" applyFill="1" applyBorder="1" applyAlignment="1">
      <alignment horizontal="center" vertical="center" wrapText="1"/>
    </xf>
    <xf numFmtId="1" fontId="1" fillId="0" borderId="183" xfId="3" applyNumberFormat="1" applyFont="1" applyFill="1" applyBorder="1" applyAlignment="1">
      <alignment horizontal="center" vertical="center" wrapText="1"/>
    </xf>
    <xf numFmtId="1" fontId="2" fillId="0" borderId="183" xfId="3" applyNumberFormat="1" applyFont="1" applyFill="1" applyBorder="1" applyAlignment="1">
      <alignment horizontal="center" vertical="center" wrapText="1"/>
    </xf>
    <xf numFmtId="1" fontId="1" fillId="0" borderId="184" xfId="1" applyNumberFormat="1" applyFont="1" applyFill="1" applyBorder="1" applyAlignment="1">
      <alignment horizontal="center"/>
    </xf>
    <xf numFmtId="1" fontId="2" fillId="3" borderId="185" xfId="3" applyNumberFormat="1" applyFont="1" applyFill="1" applyBorder="1" applyAlignment="1">
      <alignment horizontal="center" vertical="center" wrapText="1"/>
    </xf>
    <xf numFmtId="1" fontId="1" fillId="5" borderId="184" xfId="1" applyNumberFormat="1" applyFont="1" applyFill="1" applyBorder="1" applyAlignment="1">
      <alignment horizontal="center"/>
    </xf>
    <xf numFmtId="1" fontId="1" fillId="6" borderId="185" xfId="3" applyNumberFormat="1" applyFont="1" applyFill="1" applyBorder="1" applyAlignment="1">
      <alignment horizontal="center" vertical="center" wrapText="1"/>
    </xf>
    <xf numFmtId="1" fontId="1" fillId="0" borderId="186" xfId="1" applyNumberFormat="1" applyFont="1" applyFill="1" applyBorder="1" applyAlignment="1">
      <alignment horizontal="center"/>
    </xf>
    <xf numFmtId="0" fontId="1" fillId="0" borderId="187" xfId="1" applyFont="1" applyFill="1" applyBorder="1" applyAlignment="1">
      <alignment wrapText="1"/>
    </xf>
    <xf numFmtId="0" fontId="1" fillId="0" borderId="188" xfId="1" applyFont="1" applyFill="1" applyBorder="1" applyAlignment="1">
      <alignment horizontal="right"/>
    </xf>
    <xf numFmtId="1" fontId="1" fillId="6" borderId="189" xfId="3" applyNumberFormat="1" applyFont="1" applyFill="1" applyBorder="1" applyAlignment="1">
      <alignment horizontal="center" vertical="center" wrapText="1"/>
    </xf>
    <xf numFmtId="1" fontId="1" fillId="6" borderId="190" xfId="3" applyNumberFormat="1" applyFont="1" applyFill="1" applyBorder="1" applyAlignment="1">
      <alignment horizontal="center" vertical="center" wrapText="1"/>
    </xf>
    <xf numFmtId="1" fontId="2" fillId="0" borderId="191" xfId="3" applyNumberFormat="1" applyFont="1" applyFill="1" applyBorder="1" applyAlignment="1">
      <alignment horizontal="center" vertical="center" wrapText="1"/>
    </xf>
    <xf numFmtId="1" fontId="2" fillId="3" borderId="177" xfId="3" applyNumberFormat="1" applyFont="1" applyFill="1" applyBorder="1" applyAlignment="1">
      <alignment horizontal="center" vertical="center" wrapText="1"/>
    </xf>
    <xf numFmtId="1" fontId="2" fillId="0" borderId="192" xfId="4" applyNumberFormat="1" applyFont="1" applyFill="1" applyBorder="1" applyAlignment="1">
      <alignment horizontal="center" vertical="center"/>
    </xf>
    <xf numFmtId="1" fontId="2" fillId="0" borderId="193" xfId="4" applyNumberFormat="1" applyFont="1" applyFill="1" applyBorder="1" applyAlignment="1">
      <alignment horizontal="center" vertical="center"/>
    </xf>
    <xf numFmtId="1" fontId="1" fillId="0" borderId="184" xfId="3" applyNumberFormat="1" applyFont="1" applyFill="1" applyBorder="1" applyAlignment="1">
      <alignment horizontal="center" vertical="center" wrapText="1"/>
    </xf>
    <xf numFmtId="1" fontId="1" fillId="0" borderId="193" xfId="4" applyNumberFormat="1" applyFont="1" applyFill="1" applyBorder="1" applyAlignment="1">
      <alignment horizontal="center" vertical="center"/>
    </xf>
    <xf numFmtId="1" fontId="1" fillId="0" borderId="194" xfId="4" applyNumberFormat="1" applyFont="1" applyFill="1" applyBorder="1" applyAlignment="1">
      <alignment horizontal="center" vertical="center"/>
    </xf>
    <xf numFmtId="3" fontId="2" fillId="0" borderId="195" xfId="4" applyNumberFormat="1" applyFont="1" applyFill="1" applyBorder="1" applyAlignment="1">
      <alignment horizontal="center" vertical="center"/>
    </xf>
    <xf numFmtId="3" fontId="1" fillId="0" borderId="185" xfId="4" applyNumberFormat="1" applyFont="1" applyFill="1" applyBorder="1" applyAlignment="1">
      <alignment horizontal="center" vertical="center"/>
    </xf>
    <xf numFmtId="3" fontId="2" fillId="0" borderId="185" xfId="4" applyNumberFormat="1" applyFont="1" applyFill="1" applyBorder="1" applyAlignment="1">
      <alignment horizontal="center" vertical="center"/>
    </xf>
    <xf numFmtId="3" fontId="1" fillId="0" borderId="196" xfId="4" applyNumberFormat="1" applyFont="1" applyFill="1" applyBorder="1" applyAlignment="1">
      <alignment horizontal="center" vertical="center"/>
    </xf>
    <xf numFmtId="1" fontId="2" fillId="3" borderId="197" xfId="3" applyNumberFormat="1" applyFont="1" applyFill="1" applyBorder="1" applyAlignment="1">
      <alignment horizontal="center" vertical="center" wrapText="1"/>
    </xf>
    <xf numFmtId="1" fontId="1" fillId="5" borderId="185" xfId="3" applyNumberFormat="1" applyFont="1" applyFill="1" applyBorder="1" applyAlignment="1">
      <alignment horizontal="center" vertical="center" wrapText="1"/>
    </xf>
    <xf numFmtId="1" fontId="1" fillId="0" borderId="185" xfId="3" applyNumberFormat="1" applyFont="1" applyFill="1" applyBorder="1" applyAlignment="1">
      <alignment horizontal="center" vertical="center" wrapText="1"/>
    </xf>
    <xf numFmtId="1" fontId="1" fillId="0" borderId="189" xfId="1" applyNumberFormat="1" applyFont="1" applyFill="1" applyBorder="1" applyAlignment="1">
      <alignment horizontal="center" vertical="center"/>
    </xf>
    <xf numFmtId="1" fontId="1" fillId="4" borderId="189" xfId="1" applyNumberFormat="1" applyFont="1" applyFill="1" applyBorder="1" applyAlignment="1">
      <alignment horizontal="center" vertical="center"/>
    </xf>
    <xf numFmtId="1" fontId="1" fillId="4" borderId="189" xfId="3" applyNumberFormat="1" applyFont="1" applyFill="1" applyBorder="1" applyAlignment="1">
      <alignment horizontal="center" vertical="center" wrapText="1"/>
    </xf>
    <xf numFmtId="1" fontId="1" fillId="0" borderId="189" xfId="3" applyNumberFormat="1" applyFont="1" applyFill="1" applyBorder="1" applyAlignment="1">
      <alignment horizontal="center" vertical="center" wrapText="1"/>
    </xf>
    <xf numFmtId="1" fontId="1" fillId="0" borderId="190" xfId="3" applyNumberFormat="1" applyFont="1" applyFill="1" applyBorder="1" applyAlignment="1">
      <alignment horizontal="center" vertical="center" wrapText="1"/>
    </xf>
    <xf numFmtId="1" fontId="2" fillId="0" borderId="198" xfId="4" applyNumberFormat="1" applyFont="1" applyFill="1" applyBorder="1" applyAlignment="1">
      <alignment horizontal="center" vertical="center"/>
    </xf>
    <xf numFmtId="1" fontId="2" fillId="0" borderId="199" xfId="4" applyNumberFormat="1" applyFont="1" applyFill="1" applyBorder="1" applyAlignment="1">
      <alignment horizontal="center" vertical="center"/>
    </xf>
    <xf numFmtId="1" fontId="1" fillId="0" borderId="199" xfId="4" applyNumberFormat="1" applyFont="1" applyFill="1" applyBorder="1" applyAlignment="1">
      <alignment horizontal="center" vertical="center"/>
    </xf>
    <xf numFmtId="1" fontId="1" fillId="4" borderId="14" xfId="4" applyNumberFormat="1" applyFont="1" applyFill="1" applyBorder="1" applyAlignment="1">
      <alignment horizontal="center" vertical="center"/>
    </xf>
    <xf numFmtId="1" fontId="1" fillId="4" borderId="15" xfId="4" applyNumberFormat="1" applyFont="1" applyFill="1" applyBorder="1" applyAlignment="1">
      <alignment horizontal="center" vertical="center"/>
    </xf>
    <xf numFmtId="1" fontId="1" fillId="0" borderId="170" xfId="4" applyNumberFormat="1" applyFont="1" applyFill="1" applyBorder="1" applyAlignment="1">
      <alignment horizontal="center" vertical="center"/>
    </xf>
    <xf numFmtId="1" fontId="2" fillId="3" borderId="200" xfId="3" applyNumberFormat="1" applyFont="1" applyFill="1" applyBorder="1" applyAlignment="1">
      <alignment horizontal="center" vertical="center" wrapText="1"/>
    </xf>
    <xf numFmtId="1" fontId="2" fillId="0" borderId="200" xfId="3" applyNumberFormat="1" applyFont="1" applyFill="1" applyBorder="1" applyAlignment="1">
      <alignment horizontal="center" vertical="center" wrapText="1"/>
    </xf>
    <xf numFmtId="1" fontId="1" fillId="0" borderId="201" xfId="4" applyNumberFormat="1" applyFont="1" applyFill="1" applyBorder="1" applyAlignment="1">
      <alignment horizontal="center" vertical="center"/>
    </xf>
    <xf numFmtId="3" fontId="2" fillId="0" borderId="14" xfId="4" applyNumberFormat="1" applyFont="1" applyFill="1" applyBorder="1" applyAlignment="1">
      <alignment horizontal="center" vertical="center"/>
    </xf>
    <xf numFmtId="3" fontId="1" fillId="0" borderId="22" xfId="4" applyNumberFormat="1" applyFont="1" applyFill="1" applyBorder="1" applyAlignment="1">
      <alignment horizontal="center" vertical="center"/>
    </xf>
    <xf numFmtId="3" fontId="1" fillId="0" borderId="31" xfId="4" applyNumberFormat="1" applyFont="1" applyFill="1" applyBorder="1" applyAlignment="1">
      <alignment horizontal="center" vertical="center"/>
    </xf>
    <xf numFmtId="1" fontId="2" fillId="3" borderId="30" xfId="3" applyNumberFormat="1" applyFont="1" applyFill="1" applyBorder="1" applyAlignment="1">
      <alignment horizontal="center" vertical="center" wrapText="1"/>
    </xf>
    <xf numFmtId="1" fontId="1" fillId="5" borderId="30" xfId="3" applyNumberFormat="1" applyFont="1" applyFill="1" applyBorder="1" applyAlignment="1">
      <alignment horizontal="center" vertical="center" wrapText="1"/>
    </xf>
    <xf numFmtId="1" fontId="1" fillId="0" borderId="187" xfId="3" applyNumberFormat="1" applyFont="1" applyFill="1" applyBorder="1" applyAlignment="1">
      <alignment horizontal="center" vertical="center" wrapText="1"/>
    </xf>
    <xf numFmtId="1" fontId="2" fillId="0" borderId="202" xfId="3" applyNumberFormat="1" applyFont="1" applyFill="1" applyBorder="1" applyAlignment="1">
      <alignment horizontal="center" vertical="center" wrapText="1"/>
    </xf>
    <xf numFmtId="1" fontId="2" fillId="3" borderId="203" xfId="3" applyNumberFormat="1" applyFont="1" applyFill="1" applyBorder="1" applyAlignment="1">
      <alignment horizontal="center" vertical="center" wrapText="1"/>
    </xf>
    <xf numFmtId="1" fontId="2" fillId="3" borderId="204" xfId="3" applyNumberFormat="1" applyFont="1" applyFill="1" applyBorder="1" applyAlignment="1">
      <alignment horizontal="center" vertical="center" wrapText="1"/>
    </xf>
    <xf numFmtId="1" fontId="2" fillId="0" borderId="205" xfId="3" applyNumberFormat="1" applyFont="1" applyFill="1" applyBorder="1" applyAlignment="1">
      <alignment horizontal="center" vertical="center" wrapText="1"/>
    </xf>
    <xf numFmtId="1" fontId="2" fillId="0" borderId="206" xfId="3" applyNumberFormat="1" applyFont="1" applyFill="1" applyBorder="1" applyAlignment="1">
      <alignment horizontal="center" vertical="center" wrapText="1"/>
    </xf>
    <xf numFmtId="1" fontId="2" fillId="0" borderId="207" xfId="3" applyNumberFormat="1" applyFont="1" applyFill="1" applyBorder="1" applyAlignment="1">
      <alignment horizontal="center" vertical="center" wrapText="1"/>
    </xf>
    <xf numFmtId="1" fontId="1" fillId="0" borderId="206" xfId="3" applyNumberFormat="1" applyFont="1" applyFill="1" applyBorder="1" applyAlignment="1">
      <alignment horizontal="center" vertical="center" wrapText="1"/>
    </xf>
    <xf numFmtId="1" fontId="1" fillId="0" borderId="207" xfId="4" applyNumberFormat="1" applyFont="1" applyFill="1" applyBorder="1" applyAlignment="1">
      <alignment horizontal="center" vertical="center"/>
    </xf>
    <xf numFmtId="1" fontId="1" fillId="4" borderId="208" xfId="3" applyNumberFormat="1" applyFont="1" applyFill="1" applyBorder="1" applyAlignment="1">
      <alignment horizontal="center" vertical="center" wrapText="1"/>
    </xf>
    <xf numFmtId="1" fontId="1" fillId="4" borderId="195" xfId="4" applyNumberFormat="1" applyFont="1" applyFill="1" applyBorder="1" applyAlignment="1">
      <alignment horizontal="center" vertical="center"/>
    </xf>
    <xf numFmtId="1" fontId="1" fillId="0" borderId="209" xfId="3" applyNumberFormat="1" applyFont="1" applyFill="1" applyBorder="1" applyAlignment="1">
      <alignment horizontal="center" vertical="center" wrapText="1"/>
    </xf>
    <xf numFmtId="1" fontId="1" fillId="0" borderId="185" xfId="4" applyNumberFormat="1" applyFont="1" applyFill="1" applyBorder="1" applyAlignment="1">
      <alignment horizontal="center" vertical="center"/>
    </xf>
    <xf numFmtId="1" fontId="2" fillId="0" borderId="209" xfId="3" applyNumberFormat="1" applyFont="1" applyFill="1" applyBorder="1" applyAlignment="1">
      <alignment horizontal="center" vertical="center" wrapText="1"/>
    </xf>
    <xf numFmtId="1" fontId="2" fillId="0" borderId="185" xfId="4" applyNumberFormat="1" applyFont="1" applyFill="1" applyBorder="1" applyAlignment="1">
      <alignment horizontal="center" vertical="center"/>
    </xf>
    <xf numFmtId="1" fontId="1" fillId="0" borderId="210" xfId="3" applyNumberFormat="1" applyFont="1" applyFill="1" applyBorder="1" applyAlignment="1">
      <alignment horizontal="center" vertical="center" wrapText="1"/>
    </xf>
    <xf numFmtId="1" fontId="1" fillId="0" borderId="196" xfId="4" applyNumberFormat="1" applyFont="1" applyFill="1" applyBorder="1" applyAlignment="1">
      <alignment horizontal="center" vertical="center"/>
    </xf>
    <xf numFmtId="3" fontId="2" fillId="0" borderId="211" xfId="3" applyNumberFormat="1" applyFont="1" applyFill="1" applyBorder="1" applyAlignment="1">
      <alignment horizontal="center" vertical="center" wrapText="1"/>
    </xf>
    <xf numFmtId="3" fontId="1" fillId="0" borderId="212" xfId="3" applyNumberFormat="1" applyFont="1" applyFill="1" applyBorder="1" applyAlignment="1">
      <alignment horizontal="center" vertical="center" wrapText="1"/>
    </xf>
    <xf numFmtId="3" fontId="2" fillId="0" borderId="212" xfId="3" applyNumberFormat="1" applyFont="1" applyFill="1" applyBorder="1" applyAlignment="1">
      <alignment horizontal="center" vertical="center" wrapText="1"/>
    </xf>
    <xf numFmtId="3" fontId="1" fillId="0" borderId="213" xfId="3" applyNumberFormat="1" applyFont="1" applyFill="1" applyBorder="1" applyAlignment="1">
      <alignment horizontal="center" vertical="center" wrapText="1"/>
    </xf>
    <xf numFmtId="1" fontId="2" fillId="3" borderId="212" xfId="3" applyNumberFormat="1" applyFont="1" applyFill="1" applyBorder="1" applyAlignment="1">
      <alignment horizontal="center" vertical="center" wrapText="1"/>
    </xf>
    <xf numFmtId="1" fontId="1" fillId="5" borderId="212" xfId="3" applyNumberFormat="1" applyFont="1" applyFill="1" applyBorder="1" applyAlignment="1">
      <alignment horizontal="center" vertical="center" wrapText="1"/>
    </xf>
    <xf numFmtId="1" fontId="1" fillId="0" borderId="212" xfId="3" applyNumberFormat="1" applyFont="1" applyFill="1" applyBorder="1" applyAlignment="1">
      <alignment horizontal="center" vertical="center" wrapText="1"/>
    </xf>
    <xf numFmtId="1" fontId="1" fillId="4" borderId="214" xfId="3" applyNumberFormat="1" applyFont="1" applyFill="1" applyBorder="1" applyAlignment="1">
      <alignment horizontal="center" vertical="center" wrapText="1"/>
    </xf>
    <xf numFmtId="1" fontId="1" fillId="4" borderId="190" xfId="3" applyNumberFormat="1" applyFont="1" applyFill="1" applyBorder="1" applyAlignment="1">
      <alignment horizontal="center" vertical="center" wrapText="1"/>
    </xf>
    <xf numFmtId="49" fontId="1" fillId="0" borderId="215" xfId="1" applyNumberFormat="1" applyFont="1" applyFill="1" applyBorder="1" applyAlignment="1">
      <alignment horizontal="left" vertical="top"/>
    </xf>
    <xf numFmtId="49" fontId="1" fillId="0" borderId="216" xfId="1" applyNumberFormat="1" applyFont="1" applyFill="1" applyBorder="1" applyAlignment="1">
      <alignment horizontal="left" vertical="top"/>
    </xf>
    <xf numFmtId="49" fontId="1" fillId="0" borderId="162" xfId="1" applyNumberFormat="1" applyFont="1" applyFill="1" applyBorder="1" applyAlignment="1">
      <alignment horizontal="left" vertical="top"/>
    </xf>
    <xf numFmtId="1" fontId="1" fillId="0" borderId="215" xfId="3" applyNumberFormat="1" applyFont="1" applyFill="1" applyBorder="1" applyAlignment="1">
      <alignment vertical="center" wrapText="1"/>
    </xf>
    <xf numFmtId="1" fontId="1" fillId="0" borderId="216" xfId="3" applyNumberFormat="1" applyFont="1" applyFill="1" applyBorder="1" applyAlignment="1">
      <alignment vertical="center" wrapText="1"/>
    </xf>
    <xf numFmtId="1" fontId="1" fillId="0" borderId="149" xfId="3" applyNumberFormat="1" applyFont="1" applyFill="1" applyBorder="1" applyAlignment="1">
      <alignment vertical="center" wrapText="1"/>
    </xf>
    <xf numFmtId="49" fontId="1" fillId="0" borderId="170" xfId="1" applyNumberFormat="1" applyFont="1" applyFill="1" applyBorder="1" applyAlignment="1">
      <alignment horizontal="center" vertical="center"/>
    </xf>
    <xf numFmtId="2" fontId="2" fillId="6" borderId="23" xfId="1" applyNumberFormat="1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horizontal="right"/>
    </xf>
    <xf numFmtId="1" fontId="1" fillId="5" borderId="23" xfId="1" applyNumberFormat="1" applyFont="1" applyFill="1" applyBorder="1" applyAlignment="1">
      <alignment horizontal="center" vertical="center"/>
    </xf>
    <xf numFmtId="2" fontId="1" fillId="5" borderId="23" xfId="1" applyNumberFormat="1" applyFont="1" applyFill="1" applyBorder="1" applyAlignment="1">
      <alignment horizontal="center" vertical="center"/>
    </xf>
    <xf numFmtId="49" fontId="1" fillId="5" borderId="22" xfId="1" applyNumberFormat="1" applyFont="1" applyFill="1" applyBorder="1" applyAlignment="1">
      <alignment horizontal="left" vertical="top"/>
    </xf>
    <xf numFmtId="1" fontId="1" fillId="0" borderId="217" xfId="3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/>
    </xf>
    <xf numFmtId="1" fontId="2" fillId="0" borderId="185" xfId="3" applyNumberFormat="1" applyFont="1" applyFill="1" applyBorder="1" applyAlignment="1">
      <alignment horizontal="center" vertical="center" wrapText="1"/>
    </xf>
    <xf numFmtId="1" fontId="2" fillId="0" borderId="170" xfId="1" applyNumberFormat="1" applyFont="1" applyFill="1" applyBorder="1" applyAlignment="1">
      <alignment horizontal="center" vertical="center"/>
    </xf>
    <xf numFmtId="1" fontId="1" fillId="0" borderId="218" xfId="1" applyNumberFormat="1" applyFont="1" applyFill="1" applyBorder="1" applyAlignment="1">
      <alignment horizontal="center"/>
    </xf>
    <xf numFmtId="1" fontId="2" fillId="0" borderId="219" xfId="3" applyNumberFormat="1" applyFont="1" applyFill="1" applyBorder="1" applyAlignment="1">
      <alignment horizontal="center" vertical="center" wrapText="1"/>
    </xf>
    <xf numFmtId="1" fontId="1" fillId="3" borderId="178" xfId="3" applyNumberFormat="1" applyFont="1" applyFill="1" applyBorder="1" applyAlignment="1">
      <alignment horizontal="center" vertical="center" wrapText="1"/>
    </xf>
    <xf numFmtId="1" fontId="2" fillId="3" borderId="220" xfId="3" applyNumberFormat="1" applyFont="1" applyFill="1" applyBorder="1" applyAlignment="1">
      <alignment horizontal="center" vertical="center" wrapText="1"/>
    </xf>
    <xf numFmtId="1" fontId="2" fillId="0" borderId="193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right"/>
    </xf>
    <xf numFmtId="1" fontId="1" fillId="0" borderId="0" xfId="4" applyNumberFormat="1" applyFont="1" applyFill="1" applyBorder="1" applyAlignment="1">
      <alignment horizontal="center"/>
    </xf>
    <xf numFmtId="1" fontId="1" fillId="0" borderId="185" xfId="3" applyNumberFormat="1" applyFont="1" applyFill="1" applyBorder="1" applyAlignment="1">
      <alignment vertical="center" wrapText="1"/>
    </xf>
    <xf numFmtId="1" fontId="2" fillId="0" borderId="185" xfId="3" applyNumberFormat="1" applyFont="1" applyFill="1" applyBorder="1" applyAlignment="1">
      <alignment vertical="center" wrapText="1"/>
    </xf>
    <xf numFmtId="1" fontId="1" fillId="0" borderId="221" xfId="3" applyNumberFormat="1" applyFont="1" applyFill="1" applyBorder="1" applyAlignment="1">
      <alignment vertical="center" wrapText="1"/>
    </xf>
    <xf numFmtId="1" fontId="1" fillId="0" borderId="222" xfId="3" applyNumberFormat="1" applyFont="1" applyFill="1" applyBorder="1" applyAlignment="1">
      <alignment vertical="center" wrapText="1"/>
    </xf>
    <xf numFmtId="1" fontId="2" fillId="0" borderId="195" xfId="3" applyNumberFormat="1" applyFont="1" applyFill="1" applyBorder="1" applyAlignment="1">
      <alignment vertical="center" wrapText="1"/>
    </xf>
    <xf numFmtId="1" fontId="2" fillId="0" borderId="196" xfId="3" applyNumberFormat="1" applyFont="1" applyFill="1" applyBorder="1" applyAlignment="1">
      <alignment vertical="center" wrapText="1"/>
    </xf>
    <xf numFmtId="1" fontId="1" fillId="0" borderId="196" xfId="3" applyNumberFormat="1" applyFont="1" applyFill="1" applyBorder="1" applyAlignment="1">
      <alignment vertical="center" wrapText="1"/>
    </xf>
    <xf numFmtId="1" fontId="1" fillId="0" borderId="223" xfId="3" applyNumberFormat="1" applyFont="1" applyFill="1" applyBorder="1" applyAlignment="1">
      <alignment vertical="center" wrapText="1"/>
    </xf>
    <xf numFmtId="1" fontId="1" fillId="0" borderId="195" xfId="3" applyNumberFormat="1" applyFont="1" applyFill="1" applyBorder="1" applyAlignment="1">
      <alignment vertical="center" wrapText="1"/>
    </xf>
    <xf numFmtId="49" fontId="1" fillId="0" borderId="224" xfId="1" applyNumberFormat="1" applyFont="1" applyFill="1" applyBorder="1" applyAlignment="1">
      <alignment horizontal="left" vertical="top"/>
    </xf>
    <xf numFmtId="49" fontId="1" fillId="0" borderId="224" xfId="1" applyNumberFormat="1" applyFont="1" applyFill="1" applyBorder="1" applyAlignment="1">
      <alignment horizontal="right"/>
    </xf>
    <xf numFmtId="49" fontId="1" fillId="0" borderId="224" xfId="1" applyNumberFormat="1" applyFont="1" applyFill="1" applyBorder="1" applyAlignment="1">
      <alignment horizontal="center"/>
    </xf>
    <xf numFmtId="1" fontId="1" fillId="0" borderId="224" xfId="3" applyNumberFormat="1" applyFont="1" applyFill="1" applyBorder="1" applyAlignment="1">
      <alignment horizontal="center" vertical="center" wrapText="1"/>
    </xf>
    <xf numFmtId="1" fontId="1" fillId="0" borderId="225" xfId="3" applyNumberFormat="1" applyFont="1" applyFill="1" applyBorder="1" applyAlignment="1">
      <alignment vertical="center" wrapText="1"/>
    </xf>
    <xf numFmtId="1" fontId="1" fillId="0" borderId="226" xfId="3" applyNumberFormat="1" applyFont="1" applyFill="1" applyBorder="1" applyAlignment="1">
      <alignment vertical="center" wrapText="1"/>
    </xf>
    <xf numFmtId="1" fontId="1" fillId="0" borderId="227" xfId="3" applyNumberFormat="1" applyFont="1" applyFill="1" applyBorder="1" applyAlignment="1">
      <alignment vertical="center" wrapText="1"/>
    </xf>
    <xf numFmtId="2" fontId="2" fillId="0" borderId="3" xfId="3" applyNumberFormat="1" applyFont="1" applyFill="1" applyBorder="1" applyAlignment="1">
      <alignment horizontal="center" vertical="center" wrapText="1"/>
    </xf>
    <xf numFmtId="2" fontId="1" fillId="0" borderId="3" xfId="3" applyNumberFormat="1" applyFont="1" applyFill="1" applyBorder="1" applyAlignment="1">
      <alignment horizontal="center" vertical="center" wrapText="1"/>
    </xf>
    <xf numFmtId="2" fontId="1" fillId="0" borderId="16" xfId="3" applyNumberFormat="1" applyFont="1" applyFill="1" applyBorder="1" applyAlignment="1">
      <alignment vertical="center" wrapText="1"/>
    </xf>
    <xf numFmtId="2" fontId="1" fillId="0" borderId="59" xfId="3" applyNumberFormat="1" applyFont="1" applyFill="1" applyBorder="1" applyAlignment="1">
      <alignment horizontal="center" vertical="center" wrapText="1"/>
    </xf>
    <xf numFmtId="2" fontId="1" fillId="0" borderId="170" xfId="3" applyNumberFormat="1" applyFont="1" applyFill="1" applyBorder="1" applyAlignment="1">
      <alignment horizontal="center" vertical="center" wrapText="1"/>
    </xf>
    <xf numFmtId="2" fontId="14" fillId="0" borderId="54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2" fontId="1" fillId="0" borderId="53" xfId="3" applyNumberFormat="1" applyFont="1" applyFill="1" applyBorder="1" applyAlignment="1">
      <alignment horizontal="center" vertical="center" wrapText="1"/>
    </xf>
    <xf numFmtId="2" fontId="1" fillId="0" borderId="125" xfId="3" applyNumberFormat="1" applyFont="1" applyFill="1" applyBorder="1" applyAlignment="1">
      <alignment horizontal="center" vertical="center" wrapText="1"/>
    </xf>
    <xf numFmtId="2" fontId="1" fillId="0" borderId="124" xfId="3" applyNumberFormat="1" applyFont="1" applyFill="1" applyBorder="1" applyAlignment="1">
      <alignment horizontal="center" vertical="center" wrapText="1"/>
    </xf>
    <xf numFmtId="2" fontId="2" fillId="0" borderId="38" xfId="3" applyNumberFormat="1" applyFont="1" applyFill="1" applyBorder="1" applyAlignment="1">
      <alignment horizontal="center" vertical="center" wrapText="1"/>
    </xf>
    <xf numFmtId="2" fontId="2" fillId="0" borderId="59" xfId="1" applyNumberFormat="1" applyFont="1" applyFill="1" applyBorder="1" applyAlignment="1">
      <alignment horizontal="center" vertical="center"/>
    </xf>
    <xf numFmtId="2" fontId="1" fillId="5" borderId="23" xfId="3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/>
    </xf>
    <xf numFmtId="2" fontId="1" fillId="0" borderId="29" xfId="3" applyNumberFormat="1" applyFont="1" applyFill="1" applyBorder="1" applyAlignment="1">
      <alignment horizontal="center" vertical="center" wrapText="1"/>
    </xf>
    <xf numFmtId="2" fontId="2" fillId="6" borderId="23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top"/>
    </xf>
    <xf numFmtId="2" fontId="2" fillId="0" borderId="170" xfId="1" applyNumberFormat="1" applyFont="1" applyFill="1" applyBorder="1" applyAlignment="1">
      <alignment horizontal="center" vertical="center"/>
    </xf>
    <xf numFmtId="2" fontId="2" fillId="0" borderId="170" xfId="3" applyNumberFormat="1" applyFont="1" applyFill="1" applyBorder="1" applyAlignment="1">
      <alignment horizontal="center" vertical="center" wrapText="1"/>
    </xf>
    <xf numFmtId="2" fontId="1" fillId="0" borderId="224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vertical="center" wrapText="1"/>
    </xf>
    <xf numFmtId="2" fontId="1" fillId="0" borderId="41" xfId="3" applyNumberFormat="1" applyFont="1" applyFill="1" applyBorder="1" applyAlignment="1">
      <alignment vertical="center" wrapText="1"/>
    </xf>
    <xf numFmtId="2" fontId="2" fillId="0" borderId="44" xfId="3" applyNumberFormat="1" applyFont="1" applyFill="1" applyBorder="1" applyAlignment="1">
      <alignment vertical="center" wrapText="1"/>
    </xf>
    <xf numFmtId="2" fontId="2" fillId="0" borderId="33" xfId="3" applyNumberFormat="1" applyFont="1" applyFill="1" applyBorder="1" applyAlignment="1">
      <alignment vertical="center" wrapText="1"/>
    </xf>
    <xf numFmtId="1" fontId="1" fillId="0" borderId="178" xfId="1" applyNumberFormat="1" applyFont="1" applyFill="1" applyBorder="1" applyAlignment="1">
      <alignment horizontal="center"/>
    </xf>
    <xf numFmtId="2" fontId="1" fillId="0" borderId="189" xfId="3" applyNumberFormat="1" applyFont="1" applyFill="1" applyBorder="1" applyAlignment="1">
      <alignment horizontal="center" vertical="center" wrapText="1"/>
    </xf>
    <xf numFmtId="0" fontId="4" fillId="2" borderId="170" xfId="0" applyFont="1" applyFill="1" applyBorder="1" applyAlignment="1">
      <alignment horizontal="center" vertical="center"/>
    </xf>
    <xf numFmtId="0" fontId="2" fillId="2" borderId="170" xfId="4" applyFont="1" applyFill="1" applyBorder="1" applyAlignment="1">
      <alignment horizontal="center" vertical="center"/>
    </xf>
    <xf numFmtId="0" fontId="14" fillId="0" borderId="170" xfId="1" applyBorder="1"/>
    <xf numFmtId="1" fontId="3" fillId="0" borderId="170" xfId="1" applyNumberFormat="1" applyFont="1" applyBorder="1" applyAlignment="1">
      <alignment horizontal="center" vertical="center"/>
    </xf>
    <xf numFmtId="1" fontId="2" fillId="3" borderId="170" xfId="3" applyNumberFormat="1" applyFont="1" applyFill="1" applyBorder="1" applyAlignment="1">
      <alignment horizontal="center" vertical="center" wrapText="1"/>
    </xf>
    <xf numFmtId="2" fontId="2" fillId="3" borderId="170" xfId="3" applyNumberFormat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horizontal="right" vertical="top"/>
    </xf>
    <xf numFmtId="1" fontId="1" fillId="0" borderId="170" xfId="1" applyNumberFormat="1" applyFont="1" applyFill="1" applyBorder="1" applyAlignment="1">
      <alignment horizontal="center" vertical="center"/>
    </xf>
    <xf numFmtId="49" fontId="1" fillId="0" borderId="170" xfId="1" applyNumberFormat="1" applyFont="1" applyFill="1" applyBorder="1" applyAlignment="1">
      <alignment horizontal="left" vertical="top" wrapText="1"/>
    </xf>
    <xf numFmtId="49" fontId="1" fillId="0" borderId="170" xfId="1" applyNumberFormat="1" applyFont="1" applyFill="1" applyBorder="1" applyAlignment="1">
      <alignment horizontal="right" vertical="center"/>
    </xf>
    <xf numFmtId="1" fontId="2" fillId="0" borderId="170" xfId="1" applyNumberFormat="1" applyFont="1" applyFill="1" applyBorder="1" applyAlignment="1">
      <alignment horizontal="center" vertical="center" wrapText="1"/>
    </xf>
    <xf numFmtId="1" fontId="1" fillId="4" borderId="170" xfId="3" applyNumberFormat="1" applyFont="1" applyFill="1" applyBorder="1" applyAlignment="1">
      <alignment horizontal="center" vertical="center" wrapText="1"/>
    </xf>
    <xf numFmtId="49" fontId="1" fillId="4" borderId="170" xfId="1" applyNumberFormat="1" applyFont="1" applyFill="1" applyBorder="1" applyAlignment="1">
      <alignment horizontal="left" vertical="top"/>
    </xf>
    <xf numFmtId="49" fontId="1" fillId="4" borderId="170" xfId="1" applyNumberFormat="1" applyFont="1" applyFill="1" applyBorder="1" applyAlignment="1">
      <alignment horizontal="right"/>
    </xf>
    <xf numFmtId="1" fontId="1" fillId="4" borderId="170" xfId="1" applyNumberFormat="1" applyFont="1" applyFill="1" applyBorder="1" applyAlignment="1">
      <alignment horizontal="center" vertical="center"/>
    </xf>
    <xf numFmtId="2" fontId="2" fillId="4" borderId="170" xfId="3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wrapText="1"/>
    </xf>
    <xf numFmtId="2" fontId="1" fillId="4" borderId="170" xfId="3" applyNumberFormat="1" applyFont="1" applyFill="1" applyBorder="1" applyAlignment="1">
      <alignment horizontal="center" vertical="center" wrapText="1"/>
    </xf>
    <xf numFmtId="2" fontId="1" fillId="0" borderId="170" xfId="3" applyNumberFormat="1" applyFont="1" applyFill="1" applyBorder="1" applyAlignment="1">
      <alignment vertical="center" wrapText="1"/>
    </xf>
    <xf numFmtId="1" fontId="1" fillId="0" borderId="170" xfId="3" applyNumberFormat="1" applyFont="1" applyFill="1" applyBorder="1" applyAlignment="1">
      <alignment vertical="center" wrapText="1"/>
    </xf>
    <xf numFmtId="1" fontId="1" fillId="0" borderId="221" xfId="3" applyNumberFormat="1" applyFont="1" applyFill="1" applyBorder="1" applyAlignment="1">
      <alignment horizontal="center" vertical="center" wrapText="1"/>
    </xf>
    <xf numFmtId="1" fontId="2" fillId="0" borderId="195" xfId="3" applyNumberFormat="1" applyFont="1" applyFill="1" applyBorder="1" applyAlignment="1">
      <alignment horizontal="center" vertical="center" wrapText="1"/>
    </xf>
    <xf numFmtId="49" fontId="1" fillId="0" borderId="188" xfId="1" applyNumberFormat="1" applyFont="1" applyFill="1" applyBorder="1" applyAlignment="1">
      <alignment horizontal="right"/>
    </xf>
    <xf numFmtId="1" fontId="2" fillId="0" borderId="170" xfId="1" applyNumberFormat="1" applyFont="1" applyFill="1" applyBorder="1" applyAlignment="1">
      <alignment horizontal="center"/>
    </xf>
    <xf numFmtId="1" fontId="2" fillId="0" borderId="170" xfId="1" applyNumberFormat="1" applyFont="1" applyFill="1" applyBorder="1" applyAlignment="1">
      <alignment horizontal="center" vertical="top"/>
    </xf>
    <xf numFmtId="1" fontId="1" fillId="0" borderId="170" xfId="4" applyNumberFormat="1" applyFont="1" applyFill="1" applyBorder="1" applyAlignment="1">
      <alignment horizontal="center"/>
    </xf>
    <xf numFmtId="49" fontId="1" fillId="5" borderId="170" xfId="1" applyNumberFormat="1" applyFont="1" applyFill="1" applyBorder="1" applyAlignment="1">
      <alignment horizontal="left" vertical="top"/>
    </xf>
    <xf numFmtId="49" fontId="1" fillId="5" borderId="170" xfId="1" applyNumberFormat="1" applyFont="1" applyFill="1" applyBorder="1" applyAlignment="1">
      <alignment horizontal="right"/>
    </xf>
    <xf numFmtId="1" fontId="1" fillId="5" borderId="170" xfId="3" applyNumberFormat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vertical="top" wrapText="1"/>
    </xf>
    <xf numFmtId="49" fontId="2" fillId="0" borderId="170" xfId="1" applyNumberFormat="1" applyFont="1" applyFill="1" applyBorder="1" applyAlignment="1">
      <alignment horizontal="right" vertical="center"/>
    </xf>
    <xf numFmtId="0" fontId="2" fillId="0" borderId="170" xfId="1" applyFont="1" applyFill="1" applyBorder="1" applyAlignment="1">
      <alignment horizontal="left" vertical="center"/>
    </xf>
    <xf numFmtId="0" fontId="1" fillId="0" borderId="170" xfId="1" applyFont="1" applyFill="1" applyBorder="1" applyAlignment="1">
      <alignment horizontal="left" vertical="center"/>
    </xf>
    <xf numFmtId="1" fontId="1" fillId="4" borderId="170" xfId="1" applyNumberFormat="1" applyFont="1" applyFill="1" applyBorder="1" applyAlignment="1">
      <alignment horizontal="center"/>
    </xf>
    <xf numFmtId="0" fontId="1" fillId="4" borderId="170" xfId="1" applyFont="1" applyFill="1" applyBorder="1" applyAlignment="1">
      <alignment horizontal="left" vertical="center"/>
    </xf>
    <xf numFmtId="1" fontId="3" fillId="0" borderId="180" xfId="1" applyNumberFormat="1" applyFont="1" applyBorder="1" applyAlignment="1">
      <alignment horizontal="center" vertical="center"/>
    </xf>
    <xf numFmtId="49" fontId="1" fillId="0" borderId="228" xfId="1" applyNumberFormat="1" applyFont="1" applyFill="1" applyBorder="1" applyAlignment="1">
      <alignment horizontal="left" vertical="top"/>
    </xf>
    <xf numFmtId="49" fontId="6" fillId="0" borderId="226" xfId="1" applyNumberFormat="1" applyFont="1" applyFill="1" applyBorder="1" applyAlignment="1">
      <alignment horizontal="right"/>
    </xf>
    <xf numFmtId="49" fontId="1" fillId="0" borderId="224" xfId="1" applyNumberFormat="1" applyFont="1" applyFill="1" applyBorder="1" applyAlignment="1">
      <alignment horizontal="center" vertical="center"/>
    </xf>
    <xf numFmtId="49" fontId="1" fillId="0" borderId="229" xfId="1" applyNumberFormat="1" applyFont="1" applyFill="1" applyBorder="1" applyAlignment="1">
      <alignment horizontal="left" vertical="top"/>
    </xf>
    <xf numFmtId="0" fontId="2" fillId="0" borderId="14" xfId="1" applyFont="1" applyFill="1" applyBorder="1"/>
    <xf numFmtId="1" fontId="2" fillId="0" borderId="230" xfId="3" applyNumberFormat="1" applyFont="1" applyFill="1" applyBorder="1" applyAlignment="1">
      <alignment horizontal="center" vertical="center" wrapText="1"/>
    </xf>
    <xf numFmtId="1" fontId="1" fillId="0" borderId="231" xfId="3" applyNumberFormat="1" applyFont="1" applyFill="1" applyBorder="1" applyAlignment="1">
      <alignment vertical="center" wrapText="1"/>
    </xf>
    <xf numFmtId="1" fontId="2" fillId="0" borderId="232" xfId="3" applyNumberFormat="1" applyFont="1" applyFill="1" applyBorder="1" applyAlignment="1">
      <alignment vertical="center" wrapText="1"/>
    </xf>
    <xf numFmtId="0" fontId="1" fillId="0" borderId="187" xfId="0" applyFont="1" applyFill="1" applyBorder="1" applyAlignment="1">
      <alignment wrapText="1"/>
    </xf>
    <xf numFmtId="2" fontId="1" fillId="4" borderId="189" xfId="1" applyNumberFormat="1" applyFont="1" applyFill="1" applyBorder="1" applyAlignment="1">
      <alignment horizontal="center"/>
    </xf>
    <xf numFmtId="2" fontId="2" fillId="4" borderId="189" xfId="3" applyNumberFormat="1" applyFont="1" applyFill="1" applyBorder="1" applyAlignment="1">
      <alignment horizontal="center" vertical="center" wrapText="1"/>
    </xf>
    <xf numFmtId="1" fontId="2" fillId="0" borderId="233" xfId="3" applyNumberFormat="1" applyFont="1" applyFill="1" applyBorder="1" applyAlignment="1">
      <alignment vertical="center" wrapText="1"/>
    </xf>
    <xf numFmtId="1" fontId="2" fillId="0" borderId="189" xfId="3" applyNumberFormat="1" applyFont="1" applyFill="1" applyBorder="1" applyAlignment="1">
      <alignment vertical="center" wrapText="1"/>
    </xf>
    <xf numFmtId="1" fontId="2" fillId="0" borderId="190" xfId="3" applyNumberFormat="1" applyFont="1" applyFill="1" applyBorder="1" applyAlignment="1">
      <alignment vertical="center" wrapText="1"/>
    </xf>
    <xf numFmtId="1" fontId="1" fillId="0" borderId="230" xfId="3" applyNumberFormat="1" applyFont="1" applyFill="1" applyBorder="1" applyAlignment="1">
      <alignment horizontal="center" vertical="center" wrapText="1"/>
    </xf>
    <xf numFmtId="1" fontId="1" fillId="0" borderId="234" xfId="3" applyNumberFormat="1" applyFont="1" applyFill="1" applyBorder="1" applyAlignment="1">
      <alignment horizontal="center" vertical="center" wrapText="1"/>
    </xf>
    <xf numFmtId="1" fontId="2" fillId="0" borderId="235" xfId="3" applyNumberFormat="1" applyFont="1" applyFill="1" applyBorder="1" applyAlignment="1">
      <alignment horizontal="center" vertical="center" wrapText="1"/>
    </xf>
    <xf numFmtId="0" fontId="1" fillId="0" borderId="187" xfId="1" applyFont="1" applyFill="1" applyBorder="1" applyAlignment="1">
      <alignment horizontal="left" vertical="center"/>
    </xf>
    <xf numFmtId="1" fontId="2" fillId="0" borderId="189" xfId="3" applyNumberFormat="1" applyFont="1" applyFill="1" applyBorder="1" applyAlignment="1">
      <alignment horizontal="center" vertical="center" wrapText="1"/>
    </xf>
    <xf numFmtId="1" fontId="2" fillId="0" borderId="233" xfId="3" applyNumberFormat="1" applyFont="1" applyFill="1" applyBorder="1" applyAlignment="1">
      <alignment horizontal="center" vertical="center" wrapText="1"/>
    </xf>
    <xf numFmtId="1" fontId="2" fillId="0" borderId="236" xfId="3" applyNumberFormat="1" applyFont="1" applyFill="1" applyBorder="1" applyAlignment="1">
      <alignment horizontal="center" vertical="center" wrapText="1"/>
    </xf>
    <xf numFmtId="1" fontId="2" fillId="0" borderId="237" xfId="3" applyNumberFormat="1" applyFont="1" applyFill="1" applyBorder="1" applyAlignment="1">
      <alignment horizontal="center" vertical="center" wrapText="1"/>
    </xf>
    <xf numFmtId="1" fontId="1" fillId="3" borderId="218" xfId="3" applyNumberFormat="1" applyFont="1" applyFill="1" applyBorder="1" applyAlignment="1">
      <alignment horizontal="center" vertical="center" wrapText="1"/>
    </xf>
    <xf numFmtId="1" fontId="2" fillId="0" borderId="197" xfId="3" applyNumberFormat="1" applyFont="1" applyFill="1" applyBorder="1" applyAlignment="1">
      <alignment horizontal="center" vertical="center" wrapText="1"/>
    </xf>
    <xf numFmtId="1" fontId="2" fillId="0" borderId="222" xfId="3" applyNumberFormat="1" applyFont="1" applyFill="1" applyBorder="1" applyAlignment="1">
      <alignment horizontal="center" vertical="center" wrapText="1"/>
    </xf>
    <xf numFmtId="0" fontId="1" fillId="0" borderId="187" xfId="1" applyFont="1" applyFill="1" applyBorder="1"/>
    <xf numFmtId="0" fontId="3" fillId="0" borderId="238" xfId="1" applyNumberFormat="1" applyFont="1" applyBorder="1" applyAlignment="1">
      <alignment horizontal="center" vertical="center"/>
    </xf>
    <xf numFmtId="2" fontId="1" fillId="0" borderId="239" xfId="3" applyNumberFormat="1" applyFont="1" applyFill="1" applyBorder="1" applyAlignment="1">
      <alignment horizontal="center" vertical="center" wrapText="1"/>
    </xf>
    <xf numFmtId="1" fontId="2" fillId="0" borderId="240" xfId="3" applyNumberFormat="1" applyFont="1" applyFill="1" applyBorder="1" applyAlignment="1">
      <alignment horizontal="center" vertical="center" wrapText="1"/>
    </xf>
    <xf numFmtId="1" fontId="2" fillId="0" borderId="190" xfId="3" applyNumberFormat="1" applyFont="1" applyFill="1" applyBorder="1" applyAlignment="1">
      <alignment horizontal="center" vertical="center" wrapText="1"/>
    </xf>
    <xf numFmtId="1" fontId="1" fillId="0" borderId="231" xfId="3" applyNumberFormat="1" applyFont="1" applyFill="1" applyBorder="1" applyAlignment="1">
      <alignment horizontal="center" vertical="center" wrapText="1"/>
    </xf>
    <xf numFmtId="1" fontId="2" fillId="0" borderId="232" xfId="3" applyNumberFormat="1" applyFont="1" applyFill="1" applyBorder="1" applyAlignment="1">
      <alignment horizontal="center" vertical="center" wrapText="1"/>
    </xf>
    <xf numFmtId="1" fontId="2" fillId="6" borderId="185" xfId="3" applyNumberFormat="1" applyFont="1" applyFill="1" applyBorder="1" applyAlignment="1">
      <alignment horizontal="center" vertical="center" wrapText="1"/>
    </xf>
    <xf numFmtId="1" fontId="2" fillId="5" borderId="185" xfId="3" applyNumberFormat="1" applyFont="1" applyFill="1" applyBorder="1" applyAlignment="1">
      <alignment horizontal="center" vertical="center" wrapText="1"/>
    </xf>
    <xf numFmtId="2" fontId="2" fillId="3" borderId="185" xfId="3" applyNumberFormat="1" applyFont="1" applyFill="1" applyBorder="1" applyAlignment="1">
      <alignment horizontal="center" vertical="center" wrapText="1"/>
    </xf>
    <xf numFmtId="2" fontId="1" fillId="4" borderId="189" xfId="3" applyNumberFormat="1" applyFont="1" applyFill="1" applyBorder="1" applyAlignment="1">
      <alignment horizontal="center" vertical="center" wrapText="1"/>
    </xf>
    <xf numFmtId="1" fontId="1" fillId="0" borderId="16" xfId="1" applyNumberFormat="1" applyFont="1" applyFill="1" applyBorder="1" applyAlignment="1">
      <alignment horizontal="center" vertical="center"/>
    </xf>
    <xf numFmtId="1" fontId="1" fillId="0" borderId="17" xfId="3" applyNumberFormat="1" applyFont="1" applyFill="1" applyBorder="1" applyAlignment="1">
      <alignment horizontal="center" vertical="center" wrapText="1"/>
    </xf>
    <xf numFmtId="1" fontId="1" fillId="0" borderId="39" xfId="3" applyNumberFormat="1" applyFont="1" applyFill="1" applyBorder="1" applyAlignment="1">
      <alignment horizontal="center" vertical="center" wrapText="1"/>
    </xf>
    <xf numFmtId="1" fontId="2" fillId="0" borderId="221" xfId="3" applyNumberFormat="1" applyFont="1" applyFill="1" applyBorder="1" applyAlignment="1">
      <alignment horizontal="center" vertical="center" wrapText="1"/>
    </xf>
    <xf numFmtId="1" fontId="1" fillId="0" borderId="241" xfId="3" applyNumberFormat="1" applyFont="1" applyFill="1" applyBorder="1" applyAlignment="1">
      <alignment horizontal="center" vertical="center" wrapText="1"/>
    </xf>
    <xf numFmtId="1" fontId="2" fillId="0" borderId="242" xfId="3" applyNumberFormat="1" applyFont="1" applyFill="1" applyBorder="1" applyAlignment="1">
      <alignment horizontal="center" vertical="center" wrapText="1"/>
    </xf>
    <xf numFmtId="1" fontId="1" fillId="0" borderId="222" xfId="3" applyNumberFormat="1" applyFont="1" applyFill="1" applyBorder="1" applyAlignment="1">
      <alignment horizontal="center" vertical="center" wrapText="1"/>
    </xf>
    <xf numFmtId="49" fontId="1" fillId="0" borderId="187" xfId="1" applyNumberFormat="1" applyFont="1" applyFill="1" applyBorder="1" applyAlignment="1">
      <alignment horizontal="left" vertical="top"/>
    </xf>
    <xf numFmtId="1" fontId="1" fillId="0" borderId="233" xfId="3" applyNumberFormat="1" applyFont="1" applyFill="1" applyBorder="1" applyAlignment="1">
      <alignment horizontal="center" vertical="center" wrapText="1"/>
    </xf>
    <xf numFmtId="1" fontId="2" fillId="0" borderId="222" xfId="3" applyNumberFormat="1" applyFont="1" applyFill="1" applyBorder="1" applyAlignment="1">
      <alignment vertical="center" wrapText="1"/>
    </xf>
    <xf numFmtId="1" fontId="2" fillId="0" borderId="243" xfId="3" applyNumberFormat="1" applyFont="1" applyFill="1" applyBorder="1" applyAlignment="1">
      <alignment horizontal="center" vertical="center" wrapText="1"/>
    </xf>
    <xf numFmtId="1" fontId="1" fillId="0" borderId="244" xfId="1" applyNumberFormat="1" applyFont="1" applyFill="1" applyBorder="1" applyAlignment="1">
      <alignment horizontal="center"/>
    </xf>
    <xf numFmtId="1" fontId="2" fillId="0" borderId="240" xfId="3" applyNumberFormat="1" applyFont="1" applyFill="1" applyBorder="1" applyAlignment="1">
      <alignment vertical="center" wrapText="1"/>
    </xf>
    <xf numFmtId="1" fontId="1" fillId="0" borderId="206" xfId="1" applyNumberFormat="1" applyFont="1" applyFill="1" applyBorder="1" applyAlignment="1">
      <alignment horizontal="center"/>
    </xf>
    <xf numFmtId="1" fontId="1" fillId="3" borderId="206" xfId="3" applyNumberFormat="1" applyFont="1" applyFill="1" applyBorder="1" applyAlignment="1">
      <alignment horizontal="center" vertical="center" wrapText="1"/>
    </xf>
    <xf numFmtId="1" fontId="2" fillId="8" borderId="207" xfId="3" applyNumberFormat="1" applyFont="1" applyFill="1" applyBorder="1" applyAlignment="1">
      <alignment horizontal="center" vertical="center" wrapText="1"/>
    </xf>
    <xf numFmtId="1" fontId="1" fillId="0" borderId="207" xfId="3" applyNumberFormat="1" applyFont="1" applyFill="1" applyBorder="1" applyAlignment="1">
      <alignment horizontal="center" vertical="center" wrapText="1"/>
    </xf>
    <xf numFmtId="1" fontId="1" fillId="5" borderId="206" xfId="1" applyNumberFormat="1" applyFont="1" applyFill="1" applyBorder="1" applyAlignment="1">
      <alignment horizontal="center"/>
    </xf>
    <xf numFmtId="1" fontId="1" fillId="0" borderId="245" xfId="1" applyNumberFormat="1" applyFont="1" applyFill="1" applyBorder="1" applyAlignment="1">
      <alignment horizontal="center"/>
    </xf>
    <xf numFmtId="0" fontId="1" fillId="0" borderId="224" xfId="1" applyFont="1" applyFill="1" applyBorder="1" applyAlignment="1">
      <alignment wrapText="1"/>
    </xf>
    <xf numFmtId="0" fontId="1" fillId="0" borderId="224" xfId="1" applyFont="1" applyFill="1" applyBorder="1" applyAlignment="1">
      <alignment horizontal="right"/>
    </xf>
    <xf numFmtId="1" fontId="1" fillId="0" borderId="246" xfId="3" applyNumberFormat="1" applyFont="1" applyFill="1" applyBorder="1" applyAlignment="1">
      <alignment horizontal="center" vertical="center" wrapText="1"/>
    </xf>
    <xf numFmtId="1" fontId="2" fillId="0" borderId="223" xfId="3" applyNumberFormat="1" applyFont="1" applyFill="1" applyBorder="1" applyAlignment="1">
      <alignment horizontal="center" vertical="center" wrapText="1"/>
    </xf>
    <xf numFmtId="1" fontId="1" fillId="3" borderId="184" xfId="3" applyNumberFormat="1" applyFont="1" applyFill="1" applyBorder="1" applyAlignment="1">
      <alignment horizontal="center" vertical="center" wrapText="1"/>
    </xf>
    <xf numFmtId="1" fontId="2" fillId="0" borderId="230" xfId="4" applyNumberFormat="1" applyFont="1" applyFill="1" applyBorder="1" applyAlignment="1">
      <alignment horizontal="center" vertical="center"/>
    </xf>
    <xf numFmtId="49" fontId="1" fillId="0" borderId="189" xfId="1" applyNumberFormat="1" applyFont="1" applyFill="1" applyBorder="1" applyAlignment="1">
      <alignment horizontal="right"/>
    </xf>
    <xf numFmtId="1" fontId="1" fillId="0" borderId="233" xfId="1" applyNumberFormat="1" applyFont="1" applyFill="1" applyBorder="1" applyAlignment="1">
      <alignment horizontal="center" vertical="center"/>
    </xf>
    <xf numFmtId="1" fontId="1" fillId="0" borderId="229" xfId="1" applyNumberFormat="1" applyFont="1" applyFill="1" applyBorder="1" applyAlignment="1">
      <alignment horizontal="center" vertical="center"/>
    </xf>
    <xf numFmtId="1" fontId="1" fillId="0" borderId="247" xfId="3" applyNumberFormat="1" applyFont="1" applyFill="1" applyBorder="1" applyAlignment="1">
      <alignment horizontal="center" vertical="center" wrapText="1"/>
    </xf>
    <xf numFmtId="1" fontId="1" fillId="0" borderId="187" xfId="4" applyNumberFormat="1" applyFont="1" applyFill="1" applyBorder="1" applyAlignment="1">
      <alignment horizontal="center" vertical="center"/>
    </xf>
    <xf numFmtId="1" fontId="1" fillId="0" borderId="188" xfId="4" applyNumberFormat="1" applyFont="1" applyFill="1" applyBorder="1" applyAlignment="1">
      <alignment horizontal="center" vertical="center"/>
    </xf>
    <xf numFmtId="1" fontId="1" fillId="0" borderId="189" xfId="4" applyNumberFormat="1" applyFont="1" applyFill="1" applyBorder="1" applyAlignment="1">
      <alignment horizontal="center" vertical="center"/>
    </xf>
    <xf numFmtId="1" fontId="1" fillId="0" borderId="240" xfId="4" applyNumberFormat="1" applyFont="1" applyFill="1" applyBorder="1" applyAlignment="1">
      <alignment horizontal="center" vertical="center"/>
    </xf>
    <xf numFmtId="1" fontId="1" fillId="0" borderId="190" xfId="4" applyNumberFormat="1" applyFont="1" applyFill="1" applyBorder="1" applyAlignment="1">
      <alignment horizontal="center" vertical="center"/>
    </xf>
    <xf numFmtId="1" fontId="1" fillId="0" borderId="186" xfId="3" applyNumberFormat="1" applyFont="1" applyFill="1" applyBorder="1" applyAlignment="1">
      <alignment horizontal="center" vertical="center" wrapText="1"/>
    </xf>
    <xf numFmtId="49" fontId="1" fillId="0" borderId="189" xfId="1" applyNumberFormat="1" applyFont="1" applyFill="1" applyBorder="1" applyAlignment="1">
      <alignment horizontal="center"/>
    </xf>
    <xf numFmtId="3" fontId="1" fillId="0" borderId="189" xfId="3" applyNumberFormat="1" applyFont="1" applyFill="1" applyBorder="1" applyAlignment="1">
      <alignment horizontal="center" vertical="center" wrapText="1"/>
    </xf>
    <xf numFmtId="3" fontId="1" fillId="0" borderId="188" xfId="4" applyNumberFormat="1" applyFont="1" applyFill="1" applyBorder="1" applyAlignment="1">
      <alignment horizontal="center" vertical="center"/>
    </xf>
    <xf numFmtId="3" fontId="1" fillId="0" borderId="189" xfId="4" applyNumberFormat="1" applyFont="1" applyFill="1" applyBorder="1" applyAlignment="1">
      <alignment horizontal="center" vertical="center"/>
    </xf>
    <xf numFmtId="3" fontId="1" fillId="0" borderId="240" xfId="4" applyNumberFormat="1" applyFont="1" applyFill="1" applyBorder="1" applyAlignment="1">
      <alignment horizontal="center" vertical="center"/>
    </xf>
    <xf numFmtId="3" fontId="1" fillId="0" borderId="190" xfId="4" applyNumberFormat="1" applyFont="1" applyFill="1" applyBorder="1" applyAlignment="1">
      <alignment horizontal="center" vertical="center"/>
    </xf>
    <xf numFmtId="49" fontId="1" fillId="5" borderId="23" xfId="1" applyNumberFormat="1" applyFont="1" applyFill="1" applyBorder="1" applyAlignment="1">
      <alignment horizontal="center" vertical="center"/>
    </xf>
    <xf numFmtId="2" fontId="1" fillId="5" borderId="3" xfId="3" applyNumberFormat="1" applyFont="1" applyFill="1" applyBorder="1" applyAlignment="1">
      <alignment horizontal="center" vertical="center" wrapText="1"/>
    </xf>
    <xf numFmtId="0" fontId="1" fillId="5" borderId="22" xfId="1" applyFont="1" applyFill="1" applyBorder="1"/>
    <xf numFmtId="1" fontId="2" fillId="5" borderId="170" xfId="3" applyNumberFormat="1" applyFont="1" applyFill="1" applyBorder="1" applyAlignment="1">
      <alignment horizontal="center" vertical="center" wrapText="1"/>
    </xf>
    <xf numFmtId="1" fontId="2" fillId="5" borderId="170" xfId="1" applyNumberFormat="1" applyFont="1" applyFill="1" applyBorder="1" applyAlignment="1">
      <alignment horizontal="center" vertical="top"/>
    </xf>
    <xf numFmtId="49" fontId="1" fillId="5" borderId="36" xfId="1" applyNumberFormat="1" applyFont="1" applyFill="1" applyBorder="1" applyAlignment="1">
      <alignment horizontal="left" vertical="top"/>
    </xf>
    <xf numFmtId="49" fontId="1" fillId="0" borderId="36" xfId="1" applyNumberFormat="1" applyFont="1" applyFill="1" applyBorder="1" applyAlignment="1">
      <alignment horizontal="left" vertical="top" wrapText="1"/>
    </xf>
    <xf numFmtId="4" fontId="1" fillId="4" borderId="188" xfId="1" applyNumberFormat="1" applyFont="1" applyFill="1" applyBorder="1" applyAlignment="1">
      <alignment horizontal="center" vertical="center"/>
    </xf>
    <xf numFmtId="1" fontId="14" fillId="0" borderId="54" xfId="1" applyNumberFormat="1" applyFont="1" applyBorder="1" applyAlignment="1">
      <alignment horizontal="center" vertical="center"/>
    </xf>
    <xf numFmtId="1" fontId="12" fillId="0" borderId="92" xfId="1" applyNumberFormat="1" applyFont="1" applyFill="1" applyBorder="1" applyAlignment="1">
      <alignment horizontal="center" vertical="center"/>
    </xf>
    <xf numFmtId="1" fontId="12" fillId="0" borderId="248" xfId="1" applyNumberFormat="1" applyFont="1" applyFill="1" applyBorder="1" applyAlignment="1">
      <alignment horizontal="center" vertical="center"/>
    </xf>
    <xf numFmtId="1" fontId="8" fillId="0" borderId="119" xfId="3" applyNumberFormat="1" applyFont="1" applyFill="1" applyBorder="1" applyAlignment="1">
      <alignment horizontal="center" vertical="center" wrapText="1"/>
    </xf>
    <xf numFmtId="1" fontId="2" fillId="0" borderId="249" xfId="3" applyNumberFormat="1" applyFont="1" applyFill="1" applyBorder="1" applyAlignment="1">
      <alignment horizontal="center" vertical="center" wrapText="1"/>
    </xf>
    <xf numFmtId="49" fontId="1" fillId="0" borderId="150" xfId="1" applyNumberFormat="1" applyFont="1" applyFill="1" applyBorder="1" applyAlignment="1">
      <alignment horizontal="center"/>
    </xf>
    <xf numFmtId="0" fontId="15" fillId="0" borderId="0" xfId="2" applyFont="1" applyFill="1"/>
    <xf numFmtId="1" fontId="16" fillId="0" borderId="0" xfId="4" applyNumberFormat="1" applyFont="1" applyFill="1" applyAlignment="1">
      <alignment horizontal="center"/>
    </xf>
    <xf numFmtId="49" fontId="8" fillId="0" borderId="16" xfId="1" applyNumberFormat="1" applyFont="1" applyFill="1" applyBorder="1" applyAlignment="1">
      <alignment horizontal="right"/>
    </xf>
    <xf numFmtId="0" fontId="8" fillId="0" borderId="23" xfId="1" applyFont="1" applyFill="1" applyBorder="1" applyAlignment="1">
      <alignment horizontal="right"/>
    </xf>
    <xf numFmtId="0" fontId="15" fillId="0" borderId="23" xfId="1" applyFont="1" applyFill="1" applyBorder="1" applyAlignment="1">
      <alignment horizontal="right"/>
    </xf>
    <xf numFmtId="0" fontId="15" fillId="0" borderId="33" xfId="1" applyFont="1" applyFill="1" applyBorder="1" applyAlignment="1">
      <alignment horizontal="right"/>
    </xf>
    <xf numFmtId="0" fontId="16" fillId="0" borderId="0" xfId="4" applyFont="1" applyFill="1"/>
    <xf numFmtId="0" fontId="8" fillId="0" borderId="0" xfId="4" applyFont="1" applyFill="1"/>
    <xf numFmtId="2" fontId="16" fillId="0" borderId="9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" fillId="4" borderId="170" xfId="1" applyNumberFormat="1" applyFont="1" applyFill="1" applyBorder="1" applyAlignment="1">
      <alignment horizontal="left" vertical="top" wrapText="1"/>
    </xf>
    <xf numFmtId="49" fontId="1" fillId="5" borderId="22" xfId="1" applyNumberFormat="1" applyFont="1" applyFill="1" applyBorder="1" applyAlignment="1">
      <alignment horizontal="left" vertical="top" wrapText="1"/>
    </xf>
    <xf numFmtId="1" fontId="1" fillId="7" borderId="178" xfId="3" applyNumberFormat="1" applyFont="1" applyFill="1" applyBorder="1" applyAlignment="1">
      <alignment horizontal="center" vertical="center" wrapText="1"/>
    </xf>
    <xf numFmtId="1" fontId="2" fillId="7" borderId="14" xfId="3" applyNumberFormat="1" applyFont="1" applyFill="1" applyBorder="1" applyAlignment="1">
      <alignment vertical="center" wrapText="1"/>
    </xf>
    <xf numFmtId="1" fontId="2" fillId="7" borderId="15" xfId="3" applyNumberFormat="1" applyFont="1" applyFill="1" applyBorder="1" applyAlignment="1">
      <alignment vertical="center" wrapText="1"/>
    </xf>
    <xf numFmtId="2" fontId="7" fillId="8" borderId="9" xfId="1" applyNumberFormat="1" applyFont="1" applyFill="1" applyBorder="1" applyAlignment="1">
      <alignment horizontal="center" vertical="center"/>
    </xf>
    <xf numFmtId="1" fontId="2" fillId="7" borderId="17" xfId="3" applyNumberFormat="1" applyFont="1" applyFill="1" applyBorder="1" applyAlignment="1">
      <alignment horizontal="center" vertical="center" wrapText="1"/>
    </xf>
    <xf numFmtId="0" fontId="2" fillId="2" borderId="17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1" xfId="0" applyFont="1" applyFill="1" applyBorder="1" applyAlignment="1">
      <alignment horizontal="center" vertical="center"/>
    </xf>
    <xf numFmtId="0" fontId="2" fillId="2" borderId="250" xfId="0" applyFont="1" applyFill="1" applyBorder="1" applyAlignment="1">
      <alignment horizontal="center" vertical="center"/>
    </xf>
    <xf numFmtId="0" fontId="2" fillId="2" borderId="251" xfId="0" applyFont="1" applyFill="1" applyBorder="1" applyAlignment="1">
      <alignment horizontal="center" vertical="center"/>
    </xf>
    <xf numFmtId="0" fontId="2" fillId="2" borderId="154" xfId="0" applyFont="1" applyFill="1" applyBorder="1" applyAlignment="1">
      <alignment horizontal="center" vertical="center"/>
    </xf>
    <xf numFmtId="0" fontId="2" fillId="2" borderId="252" xfId="0" applyFont="1" applyFill="1" applyBorder="1" applyAlignment="1">
      <alignment horizontal="center" vertical="center"/>
    </xf>
    <xf numFmtId="2" fontId="16" fillId="0" borderId="253" xfId="1" applyNumberFormat="1" applyFont="1" applyBorder="1" applyAlignment="1">
      <alignment horizontal="center" vertical="center"/>
    </xf>
    <xf numFmtId="2" fontId="14" fillId="0" borderId="253" xfId="1" applyNumberFormat="1" applyFont="1" applyBorder="1" applyAlignment="1">
      <alignment horizontal="center" vertical="center"/>
    </xf>
    <xf numFmtId="2" fontId="2" fillId="5" borderId="24" xfId="3" applyNumberFormat="1" applyFont="1" applyFill="1" applyBorder="1" applyAlignment="1">
      <alignment horizontal="center" vertical="center" wrapText="1"/>
    </xf>
    <xf numFmtId="2" fontId="2" fillId="0" borderId="24" xfId="3" applyNumberFormat="1" applyFont="1" applyFill="1" applyBorder="1" applyAlignment="1">
      <alignment horizontal="center" vertical="center" wrapText="1"/>
    </xf>
    <xf numFmtId="2" fontId="2" fillId="0" borderId="185" xfId="3" applyNumberFormat="1" applyFont="1" applyFill="1" applyBorder="1" applyAlignment="1">
      <alignment horizontal="center" vertical="center" wrapText="1"/>
    </xf>
    <xf numFmtId="2" fontId="2" fillId="0" borderId="47" xfId="3" applyNumberFormat="1" applyFont="1" applyFill="1" applyBorder="1" applyAlignment="1">
      <alignment horizontal="center" vertical="center" wrapText="1"/>
    </xf>
    <xf numFmtId="2" fontId="2" fillId="0" borderId="11" xfId="3" applyNumberFormat="1" applyFont="1" applyFill="1" applyBorder="1" applyAlignment="1">
      <alignment horizontal="center" vertical="center" wrapText="1"/>
    </xf>
    <xf numFmtId="2" fontId="2" fillId="0" borderId="254" xfId="3" applyNumberFormat="1" applyFont="1" applyFill="1" applyBorder="1" applyAlignment="1">
      <alignment horizontal="center" vertical="center" wrapText="1"/>
    </xf>
    <xf numFmtId="2" fontId="2" fillId="3" borderId="17" xfId="3" applyNumberFormat="1" applyFont="1" applyFill="1" applyBorder="1" applyAlignment="1">
      <alignment horizontal="center" vertical="center" wrapText="1"/>
    </xf>
    <xf numFmtId="2" fontId="2" fillId="3" borderId="53" xfId="3" applyNumberFormat="1" applyFont="1" applyFill="1" applyBorder="1" applyAlignment="1">
      <alignment horizontal="center" vertical="center" wrapText="1"/>
    </xf>
    <xf numFmtId="2" fontId="2" fillId="3" borderId="180" xfId="3" applyNumberFormat="1" applyFont="1" applyFill="1" applyBorder="1" applyAlignment="1">
      <alignment horizontal="center" vertical="center" wrapText="1"/>
    </xf>
    <xf numFmtId="2" fontId="2" fillId="0" borderId="53" xfId="3" applyNumberFormat="1" applyFont="1" applyFill="1" applyBorder="1" applyAlignment="1">
      <alignment horizontal="center" vertical="center" wrapText="1"/>
    </xf>
    <xf numFmtId="2" fontId="2" fillId="0" borderId="180" xfId="3" applyNumberFormat="1" applyFont="1" applyFill="1" applyBorder="1" applyAlignment="1">
      <alignment horizontal="center" vertical="center" wrapText="1"/>
    </xf>
    <xf numFmtId="2" fontId="2" fillId="5" borderId="197" xfId="3" applyNumberFormat="1" applyFont="1" applyFill="1" applyBorder="1" applyAlignment="1">
      <alignment horizontal="center" vertical="center" wrapText="1"/>
    </xf>
    <xf numFmtId="2" fontId="2" fillId="0" borderId="97" xfId="3" applyNumberFormat="1" applyFont="1" applyFill="1" applyBorder="1" applyAlignment="1">
      <alignment horizontal="center" vertical="center" wrapText="1"/>
    </xf>
    <xf numFmtId="2" fontId="2" fillId="0" borderId="117" xfId="3" applyNumberFormat="1" applyFont="1" applyFill="1" applyBorder="1" applyAlignment="1">
      <alignment horizontal="center" vertical="center" wrapText="1"/>
    </xf>
    <xf numFmtId="2" fontId="2" fillId="0" borderId="205" xfId="3" applyNumberFormat="1" applyFont="1" applyFill="1" applyBorder="1" applyAlignment="1">
      <alignment horizontal="center" vertical="center" wrapText="1"/>
    </xf>
    <xf numFmtId="2" fontId="2" fillId="3" borderId="161" xfId="3" applyNumberFormat="1" applyFont="1" applyFill="1" applyBorder="1" applyAlignment="1">
      <alignment horizontal="center" vertical="center" wrapText="1"/>
    </xf>
    <xf numFmtId="2" fontId="2" fillId="3" borderId="105" xfId="3" applyNumberFormat="1" applyFont="1" applyFill="1" applyBorder="1" applyAlignment="1">
      <alignment horizontal="center" vertical="center" wrapText="1"/>
    </xf>
    <xf numFmtId="2" fontId="2" fillId="3" borderId="223" xfId="3" applyNumberFormat="1" applyFont="1" applyFill="1" applyBorder="1" applyAlignment="1">
      <alignment horizontal="center" vertical="center" wrapText="1"/>
    </xf>
    <xf numFmtId="2" fontId="2" fillId="0" borderId="255" xfId="3" applyNumberFormat="1" applyFont="1" applyFill="1" applyBorder="1" applyAlignment="1">
      <alignment horizontal="center" vertical="center" wrapText="1"/>
    </xf>
    <xf numFmtId="2" fontId="2" fillId="0" borderId="256" xfId="3" applyNumberFormat="1" applyFont="1" applyFill="1" applyBorder="1" applyAlignment="1">
      <alignment horizontal="center" vertical="center" wrapText="1"/>
    </xf>
    <xf numFmtId="2" fontId="2" fillId="0" borderId="257" xfId="3" applyNumberFormat="1" applyFont="1" applyFill="1" applyBorder="1" applyAlignment="1">
      <alignment horizontal="center" vertical="center" wrapText="1"/>
    </xf>
    <xf numFmtId="2" fontId="2" fillId="0" borderId="25" xfId="3" applyNumberFormat="1" applyFont="1" applyFill="1" applyBorder="1" applyAlignment="1">
      <alignment horizontal="center" vertical="center" wrapText="1"/>
    </xf>
    <xf numFmtId="2" fontId="2" fillId="0" borderId="193" xfId="3" applyNumberFormat="1" applyFont="1" applyFill="1" applyBorder="1" applyAlignment="1">
      <alignment horizontal="center" vertical="center" wrapText="1"/>
    </xf>
    <xf numFmtId="2" fontId="2" fillId="0" borderId="12" xfId="3" applyNumberFormat="1" applyFont="1" applyFill="1" applyBorder="1" applyAlignment="1">
      <alignment horizontal="center" vertical="center" wrapText="1"/>
    </xf>
    <xf numFmtId="2" fontId="2" fillId="0" borderId="219" xfId="3" applyNumberFormat="1" applyFont="1" applyFill="1" applyBorder="1" applyAlignment="1">
      <alignment horizontal="center" vertical="center" wrapText="1"/>
    </xf>
    <xf numFmtId="2" fontId="2" fillId="3" borderId="18" xfId="3" applyNumberFormat="1" applyFont="1" applyFill="1" applyBorder="1" applyAlignment="1">
      <alignment horizontal="center" vertical="center" wrapText="1"/>
    </xf>
    <xf numFmtId="2" fontId="2" fillId="3" borderId="220" xfId="3" applyNumberFormat="1" applyFont="1" applyFill="1" applyBorder="1" applyAlignment="1">
      <alignment horizontal="center" vertical="center" wrapText="1"/>
    </xf>
    <xf numFmtId="2" fontId="2" fillId="0" borderId="230" xfId="3" applyNumberFormat="1" applyFont="1" applyFill="1" applyBorder="1" applyAlignment="1">
      <alignment horizontal="center" vertical="center" wrapText="1"/>
    </xf>
    <xf numFmtId="2" fontId="3" fillId="0" borderId="258" xfId="1" applyNumberFormat="1" applyFont="1" applyBorder="1" applyAlignment="1">
      <alignment horizontal="center" vertical="center"/>
    </xf>
    <xf numFmtId="2" fontId="3" fillId="0" borderId="177" xfId="1" applyNumberFormat="1" applyFont="1" applyBorder="1" applyAlignment="1">
      <alignment horizontal="center" vertical="center"/>
    </xf>
    <xf numFmtId="2" fontId="3" fillId="0" borderId="259" xfId="1" applyNumberFormat="1" applyFont="1" applyBorder="1" applyAlignment="1">
      <alignment horizontal="center" vertical="center"/>
    </xf>
    <xf numFmtId="2" fontId="3" fillId="0" borderId="176" xfId="1" applyNumberFormat="1" applyFont="1" applyBorder="1" applyAlignment="1">
      <alignment horizontal="center" vertical="center"/>
    </xf>
    <xf numFmtId="2" fontId="3" fillId="0" borderId="131" xfId="1" applyNumberFormat="1" applyFont="1" applyBorder="1" applyAlignment="1">
      <alignment horizontal="center" vertical="center"/>
    </xf>
    <xf numFmtId="2" fontId="3" fillId="0" borderId="180" xfId="1" applyNumberFormat="1" applyFont="1" applyBorder="1" applyAlignment="1">
      <alignment horizontal="center" vertical="center"/>
    </xf>
    <xf numFmtId="2" fontId="2" fillId="3" borderId="24" xfId="3" applyNumberFormat="1" applyFont="1" applyFill="1" applyBorder="1" applyAlignment="1">
      <alignment horizontal="center" vertical="center" wrapText="1"/>
    </xf>
    <xf numFmtId="2" fontId="3" fillId="0" borderId="260" xfId="1" applyNumberFormat="1" applyFont="1" applyBorder="1" applyAlignment="1">
      <alignment horizontal="center" vertical="center"/>
    </xf>
    <xf numFmtId="2" fontId="3" fillId="0" borderId="253" xfId="1" applyNumberFormat="1" applyFont="1" applyBorder="1" applyAlignment="1">
      <alignment horizontal="center" vertical="center"/>
    </xf>
    <xf numFmtId="2" fontId="1" fillId="0" borderId="188" xfId="1" applyNumberFormat="1" applyFont="1" applyFill="1" applyBorder="1" applyAlignment="1">
      <alignment horizontal="center" vertical="center"/>
    </xf>
    <xf numFmtId="2" fontId="2" fillId="0" borderId="197" xfId="3" applyNumberFormat="1" applyFont="1" applyFill="1" applyBorder="1" applyAlignment="1">
      <alignment horizontal="center" vertical="center" wrapText="1"/>
    </xf>
    <xf numFmtId="1" fontId="1" fillId="0" borderId="261" xfId="1" applyNumberFormat="1" applyFont="1" applyFill="1" applyBorder="1" applyAlignment="1">
      <alignment horizontal="center"/>
    </xf>
    <xf numFmtId="1" fontId="2" fillId="0" borderId="262" xfId="3" applyNumberFormat="1" applyFont="1" applyFill="1" applyBorder="1" applyAlignment="1">
      <alignment horizontal="center" vertical="center" wrapText="1"/>
    </xf>
    <xf numFmtId="1" fontId="1" fillId="0" borderId="244" xfId="3" applyNumberFormat="1" applyFont="1" applyFill="1" applyBorder="1" applyAlignment="1">
      <alignment horizontal="center" vertical="center" wrapText="1"/>
    </xf>
    <xf numFmtId="1" fontId="2" fillId="0" borderId="263" xfId="3" applyNumberFormat="1" applyFont="1" applyFill="1" applyBorder="1" applyAlignment="1">
      <alignment horizontal="center" vertical="center" wrapText="1"/>
    </xf>
    <xf numFmtId="1" fontId="2" fillId="0" borderId="264" xfId="3" applyNumberFormat="1" applyFont="1" applyFill="1" applyBorder="1" applyAlignment="1">
      <alignment horizontal="center" vertical="center" wrapText="1"/>
    </xf>
    <xf numFmtId="1" fontId="1" fillId="0" borderId="265" xfId="1" applyNumberFormat="1" applyFont="1" applyFill="1" applyBorder="1" applyAlignment="1">
      <alignment horizontal="center"/>
    </xf>
    <xf numFmtId="0" fontId="2" fillId="2" borderId="207" xfId="4" applyFont="1" applyFill="1" applyBorder="1" applyAlignment="1">
      <alignment horizontal="center" vertical="center"/>
    </xf>
    <xf numFmtId="1" fontId="2" fillId="3" borderId="207" xfId="3" applyNumberFormat="1" applyFont="1" applyFill="1" applyBorder="1" applyAlignment="1">
      <alignment horizontal="center" vertical="center" wrapText="1"/>
    </xf>
    <xf numFmtId="1" fontId="1" fillId="0" borderId="207" xfId="3" applyNumberFormat="1" applyFont="1" applyFill="1" applyBorder="1" applyAlignment="1">
      <alignment vertical="center" wrapText="1"/>
    </xf>
    <xf numFmtId="1" fontId="1" fillId="0" borderId="245" xfId="3" applyNumberFormat="1" applyFont="1" applyFill="1" applyBorder="1" applyAlignment="1">
      <alignment horizontal="center" vertical="center" wrapText="1"/>
    </xf>
    <xf numFmtId="1" fontId="1" fillId="0" borderId="224" xfId="3" applyNumberFormat="1" applyFont="1" applyFill="1" applyBorder="1" applyAlignment="1">
      <alignment vertical="center" wrapText="1"/>
    </xf>
    <xf numFmtId="1" fontId="1" fillId="0" borderId="246" xfId="3" applyNumberFormat="1" applyFont="1" applyFill="1" applyBorder="1" applyAlignment="1">
      <alignment vertical="center" wrapText="1"/>
    </xf>
    <xf numFmtId="1" fontId="2" fillId="0" borderId="266" xfId="3" applyNumberFormat="1" applyFont="1" applyFill="1" applyBorder="1" applyAlignment="1">
      <alignment horizontal="center" vertical="center" wrapText="1"/>
    </xf>
    <xf numFmtId="1" fontId="2" fillId="7" borderId="267" xfId="3" applyNumberFormat="1" applyFont="1" applyFill="1" applyBorder="1" applyAlignment="1">
      <alignment horizontal="center" vertical="center" wrapText="1"/>
    </xf>
    <xf numFmtId="1" fontId="2" fillId="0" borderId="197" xfId="3" applyNumberFormat="1" applyFont="1" applyFill="1" applyBorder="1" applyAlignment="1">
      <alignment vertical="center" wrapText="1"/>
    </xf>
    <xf numFmtId="1" fontId="1" fillId="4" borderId="206" xfId="1" applyNumberFormat="1" applyFont="1" applyFill="1" applyBorder="1" applyAlignment="1">
      <alignment horizontal="center"/>
    </xf>
    <xf numFmtId="0" fontId="1" fillId="0" borderId="224" xfId="1" applyFont="1" applyFill="1" applyBorder="1" applyAlignment="1">
      <alignment horizontal="left" vertical="center"/>
    </xf>
    <xf numFmtId="1" fontId="1" fillId="0" borderId="224" xfId="1" applyNumberFormat="1" applyFont="1" applyFill="1" applyBorder="1" applyAlignment="1">
      <alignment horizontal="center"/>
    </xf>
    <xf numFmtId="1" fontId="2" fillId="0" borderId="224" xfId="3" applyNumberFormat="1" applyFont="1" applyFill="1" applyBorder="1" applyAlignment="1">
      <alignment horizontal="center" vertical="center" wrapText="1"/>
    </xf>
    <xf numFmtId="1" fontId="2" fillId="0" borderId="246" xfId="3" applyNumberFormat="1" applyFont="1" applyFill="1" applyBorder="1" applyAlignment="1">
      <alignment horizontal="center" vertical="center" wrapText="1"/>
    </xf>
    <xf numFmtId="49" fontId="1" fillId="4" borderId="122" xfId="1" applyNumberFormat="1" applyFont="1" applyFill="1" applyBorder="1" applyAlignment="1">
      <alignment horizontal="left" vertical="top"/>
    </xf>
    <xf numFmtId="49" fontId="1" fillId="4" borderId="123" xfId="1" applyNumberFormat="1" applyFont="1" applyFill="1" applyBorder="1" applyAlignment="1">
      <alignment horizontal="right"/>
    </xf>
    <xf numFmtId="1" fontId="1" fillId="4" borderId="124" xfId="1" applyNumberFormat="1" applyFont="1" applyFill="1" applyBorder="1" applyAlignment="1">
      <alignment horizontal="center" vertical="center"/>
    </xf>
    <xf numFmtId="2" fontId="1" fillId="4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vertical="center" wrapText="1"/>
    </xf>
    <xf numFmtId="1" fontId="1" fillId="0" borderId="124" xfId="3" applyNumberFormat="1" applyFont="1" applyFill="1" applyBorder="1" applyAlignment="1">
      <alignment vertical="center" wrapText="1"/>
    </xf>
    <xf numFmtId="1" fontId="1" fillId="0" borderId="241" xfId="3" applyNumberFormat="1" applyFont="1" applyFill="1" applyBorder="1" applyAlignment="1">
      <alignment vertical="center" wrapText="1"/>
    </xf>
    <xf numFmtId="1" fontId="1" fillId="0" borderId="189" xfId="3" applyNumberFormat="1" applyFont="1" applyFill="1" applyBorder="1" applyAlignment="1">
      <alignment vertical="center" wrapText="1"/>
    </xf>
    <xf numFmtId="1" fontId="1" fillId="0" borderId="190" xfId="3" applyNumberFormat="1" applyFont="1" applyFill="1" applyBorder="1" applyAlignment="1">
      <alignment vertical="center" wrapText="1"/>
    </xf>
    <xf numFmtId="1" fontId="2" fillId="0" borderId="8" xfId="3" applyNumberFormat="1" applyFont="1" applyFill="1" applyBorder="1" applyAlignment="1">
      <alignment horizontal="center" vertical="center" wrapText="1"/>
    </xf>
    <xf numFmtId="1" fontId="2" fillId="3" borderId="149" xfId="3" applyNumberFormat="1" applyFont="1" applyFill="1" applyBorder="1" applyAlignment="1">
      <alignment horizontal="center" vertical="center" wrapText="1"/>
    </xf>
    <xf numFmtId="1" fontId="1" fillId="0" borderId="268" xfId="3" applyNumberFormat="1" applyFont="1" applyFill="1" applyBorder="1" applyAlignment="1">
      <alignment vertical="center" wrapText="1"/>
    </xf>
    <xf numFmtId="2" fontId="8" fillId="0" borderId="269" xfId="3" applyNumberFormat="1" applyFont="1" applyFill="1" applyBorder="1" applyAlignment="1">
      <alignment horizontal="center" vertical="center" wrapText="1"/>
    </xf>
    <xf numFmtId="2" fontId="8" fillId="3" borderId="195" xfId="3" applyNumberFormat="1" applyFont="1" applyFill="1" applyBorder="1" applyAlignment="1">
      <alignment horizontal="center" vertical="center" wrapText="1"/>
    </xf>
    <xf numFmtId="2" fontId="1" fillId="0" borderId="185" xfId="3" applyNumberFormat="1" applyFont="1" applyFill="1" applyBorder="1" applyAlignment="1">
      <alignment horizontal="center" vertical="center" wrapText="1"/>
    </xf>
    <xf numFmtId="2" fontId="2" fillId="5" borderId="185" xfId="3" applyNumberFormat="1" applyFont="1" applyFill="1" applyBorder="1" applyAlignment="1">
      <alignment horizontal="center" vertical="center" wrapText="1"/>
    </xf>
    <xf numFmtId="2" fontId="2" fillId="0" borderId="185" xfId="1" applyNumberFormat="1" applyFont="1" applyFill="1" applyBorder="1" applyAlignment="1">
      <alignment horizontal="center" vertical="center"/>
    </xf>
    <xf numFmtId="2" fontId="1" fillId="0" borderId="190" xfId="3" applyNumberFormat="1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/>
    </xf>
    <xf numFmtId="0" fontId="8" fillId="2" borderId="134" xfId="4" applyFont="1" applyFill="1" applyBorder="1" applyAlignment="1">
      <alignment horizontal="center" vertical="center"/>
    </xf>
    <xf numFmtId="0" fontId="8" fillId="2" borderId="183" xfId="4" applyFont="1" applyFill="1" applyBorder="1" applyAlignment="1">
      <alignment horizontal="center" vertical="center"/>
    </xf>
    <xf numFmtId="1" fontId="8" fillId="0" borderId="218" xfId="1" applyNumberFormat="1" applyFont="1" applyFill="1" applyBorder="1" applyAlignment="1">
      <alignment horizontal="center"/>
    </xf>
    <xf numFmtId="1" fontId="8" fillId="0" borderId="7" xfId="3" applyNumberFormat="1" applyFont="1" applyFill="1" applyBorder="1" applyAlignment="1">
      <alignment horizontal="center" vertical="center" wrapText="1"/>
    </xf>
    <xf numFmtId="0" fontId="7" fillId="0" borderId="74" xfId="1" applyFont="1" applyBorder="1"/>
    <xf numFmtId="1" fontId="7" fillId="0" borderId="57" xfId="1" applyNumberFormat="1" applyFont="1" applyBorder="1" applyAlignment="1">
      <alignment horizontal="center" vertical="center"/>
    </xf>
    <xf numFmtId="2" fontId="7" fillId="0" borderId="57" xfId="1" applyNumberFormat="1" applyFont="1" applyBorder="1" applyAlignment="1">
      <alignment horizontal="center" vertical="center"/>
    </xf>
    <xf numFmtId="1" fontId="8" fillId="3" borderId="178" xfId="3" applyNumberFormat="1" applyFont="1" applyFill="1" applyBorder="1" applyAlignment="1">
      <alignment horizontal="center" vertical="center" wrapText="1"/>
    </xf>
    <xf numFmtId="1" fontId="8" fillId="3" borderId="14" xfId="3" applyNumberFormat="1" applyFont="1" applyFill="1" applyBorder="1" applyAlignment="1">
      <alignment vertical="center" wrapText="1"/>
    </xf>
    <xf numFmtId="1" fontId="8" fillId="3" borderId="16" xfId="3" applyNumberFormat="1" applyFont="1" applyFill="1" applyBorder="1" applyAlignment="1">
      <alignment vertical="center" wrapText="1"/>
    </xf>
    <xf numFmtId="1" fontId="7" fillId="0" borderId="53" xfId="1" applyNumberFormat="1" applyFont="1" applyBorder="1" applyAlignment="1">
      <alignment horizontal="center" vertical="center"/>
    </xf>
    <xf numFmtId="2" fontId="7" fillId="0" borderId="53" xfId="1" applyNumberFormat="1" applyFont="1" applyBorder="1" applyAlignment="1">
      <alignment horizontal="center" vertical="center"/>
    </xf>
    <xf numFmtId="1" fontId="8" fillId="0" borderId="184" xfId="1" applyNumberFormat="1" applyFont="1" applyFill="1" applyBorder="1" applyAlignment="1">
      <alignment horizontal="center"/>
    </xf>
    <xf numFmtId="0" fontId="8" fillId="0" borderId="22" xfId="1" applyFont="1" applyFill="1" applyBorder="1" applyAlignment="1">
      <alignment vertical="center"/>
    </xf>
    <xf numFmtId="49" fontId="8" fillId="0" borderId="22" xfId="1" applyNumberFormat="1" applyFont="1" applyFill="1" applyBorder="1" applyAlignment="1">
      <alignment horizontal="left" vertical="center"/>
    </xf>
    <xf numFmtId="49" fontId="8" fillId="0" borderId="23" xfId="1" applyNumberFormat="1" applyFont="1" applyFill="1" applyBorder="1" applyAlignment="1">
      <alignment horizontal="right" vertical="top"/>
    </xf>
    <xf numFmtId="49" fontId="8" fillId="0" borderId="22" xfId="1" applyNumberFormat="1" applyFont="1" applyFill="1" applyBorder="1" applyAlignment="1">
      <alignment horizontal="left" vertical="top"/>
    </xf>
    <xf numFmtId="1" fontId="7" fillId="0" borderId="180" xfId="1" applyNumberFormat="1" applyFont="1" applyBorder="1" applyAlignment="1">
      <alignment horizontal="center" vertical="center"/>
    </xf>
    <xf numFmtId="0" fontId="8" fillId="0" borderId="22" xfId="1" applyFont="1" applyFill="1" applyBorder="1"/>
    <xf numFmtId="49" fontId="8" fillId="0" borderId="23" xfId="1" applyNumberFormat="1" applyFont="1" applyFill="1" applyBorder="1" applyAlignment="1">
      <alignment horizontal="right"/>
    </xf>
    <xf numFmtId="0" fontId="8" fillId="0" borderId="0" xfId="4" applyFont="1" applyFill="1" applyBorder="1"/>
    <xf numFmtId="0" fontId="8" fillId="0" borderId="0" xfId="4" applyFont="1" applyFill="1" applyBorder="1" applyAlignment="1">
      <alignment horizontal="right"/>
    </xf>
    <xf numFmtId="49" fontId="8" fillId="0" borderId="23" xfId="1" applyNumberFormat="1" applyFont="1" applyFill="1" applyBorder="1" applyAlignment="1">
      <alignment horizontal="center"/>
    </xf>
    <xf numFmtId="49" fontId="8" fillId="0" borderId="22" xfId="1" applyNumberFormat="1" applyFont="1" applyFill="1" applyBorder="1" applyAlignment="1">
      <alignment horizontal="left" vertical="top" wrapText="1"/>
    </xf>
    <xf numFmtId="49" fontId="8" fillId="0" borderId="23" xfId="1" applyNumberFormat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vertical="center" wrapText="1"/>
    </xf>
    <xf numFmtId="0" fontId="8" fillId="0" borderId="23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wrapText="1"/>
    </xf>
    <xf numFmtId="179" fontId="8" fillId="0" borderId="22" xfId="5" applyFont="1" applyFill="1" applyBorder="1" applyAlignment="1" applyProtection="1">
      <alignment horizontal="left" vertical="top"/>
    </xf>
    <xf numFmtId="49" fontId="8" fillId="0" borderId="27" xfId="1" applyNumberFormat="1" applyFont="1" applyFill="1" applyBorder="1" applyAlignment="1">
      <alignment horizontal="left" vertical="top"/>
    </xf>
    <xf numFmtId="49" fontId="8" fillId="0" borderId="3" xfId="1" applyNumberFormat="1" applyFont="1" applyFill="1" applyBorder="1" applyAlignment="1">
      <alignment horizontal="right"/>
    </xf>
    <xf numFmtId="49" fontId="8" fillId="0" borderId="58" xfId="1" applyNumberFormat="1" applyFont="1" applyFill="1" applyBorder="1" applyAlignment="1">
      <alignment horizontal="left" vertical="top"/>
    </xf>
    <xf numFmtId="49" fontId="8" fillId="0" borderId="59" xfId="1" applyNumberFormat="1" applyFont="1" applyFill="1" applyBorder="1" applyAlignment="1">
      <alignment horizontal="right"/>
    </xf>
    <xf numFmtId="0" fontId="8" fillId="0" borderId="14" xfId="1" applyFont="1" applyFill="1" applyBorder="1" applyAlignment="1"/>
    <xf numFmtId="49" fontId="8" fillId="0" borderId="31" xfId="1" applyNumberFormat="1" applyFont="1" applyFill="1" applyBorder="1" applyAlignment="1">
      <alignment horizontal="left" vertical="top"/>
    </xf>
    <xf numFmtId="49" fontId="8" fillId="0" borderId="33" xfId="1" applyNumberFormat="1" applyFont="1" applyFill="1" applyBorder="1" applyAlignment="1">
      <alignment horizontal="right"/>
    </xf>
    <xf numFmtId="49" fontId="8" fillId="0" borderId="14" xfId="1" applyNumberFormat="1" applyFont="1" applyFill="1" applyBorder="1" applyAlignment="1">
      <alignment horizontal="left" vertical="top"/>
    </xf>
    <xf numFmtId="49" fontId="8" fillId="0" borderId="93" xfId="1" applyNumberFormat="1" applyFont="1" applyFill="1" applyBorder="1" applyAlignment="1">
      <alignment horizontal="right"/>
    </xf>
    <xf numFmtId="49" fontId="8" fillId="0" borderId="36" xfId="1" applyNumberFormat="1" applyFont="1" applyFill="1" applyBorder="1" applyAlignment="1">
      <alignment horizontal="left" vertical="top"/>
    </xf>
    <xf numFmtId="1" fontId="8" fillId="0" borderId="186" xfId="1" applyNumberFormat="1" applyFont="1" applyFill="1" applyBorder="1" applyAlignment="1">
      <alignment horizontal="center"/>
    </xf>
    <xf numFmtId="49" fontId="8" fillId="0" borderId="228" xfId="1" applyNumberFormat="1" applyFont="1" applyFill="1" applyBorder="1" applyAlignment="1">
      <alignment horizontal="left" vertical="top"/>
    </xf>
    <xf numFmtId="49" fontId="8" fillId="0" borderId="226" xfId="1" applyNumberFormat="1" applyFont="1" applyFill="1" applyBorder="1" applyAlignment="1">
      <alignment horizontal="right"/>
    </xf>
    <xf numFmtId="1" fontId="7" fillId="0" borderId="270" xfId="1" applyNumberFormat="1" applyFont="1" applyBorder="1" applyAlignment="1">
      <alignment horizontal="center" vertical="center"/>
    </xf>
    <xf numFmtId="2" fontId="7" fillId="0" borderId="270" xfId="1" applyNumberFormat="1" applyFont="1" applyBorder="1" applyAlignment="1">
      <alignment horizontal="center" vertical="center"/>
    </xf>
    <xf numFmtId="2" fontId="7" fillId="0" borderId="271" xfId="1" applyNumberFormat="1" applyFont="1" applyBorder="1" applyAlignment="1">
      <alignment horizontal="center" vertical="center"/>
    </xf>
    <xf numFmtId="1" fontId="7" fillId="0" borderId="272" xfId="1" applyNumberFormat="1" applyFont="1" applyBorder="1" applyAlignment="1">
      <alignment horizontal="center" vertical="center"/>
    </xf>
    <xf numFmtId="1" fontId="7" fillId="0" borderId="181" xfId="1" applyNumberFormat="1" applyFont="1" applyBorder="1" applyAlignment="1">
      <alignment horizontal="center" vertical="center"/>
    </xf>
    <xf numFmtId="49" fontId="1" fillId="0" borderId="273" xfId="1" applyNumberFormat="1" applyFont="1" applyFill="1" applyBorder="1" applyAlignment="1">
      <alignment horizontal="left" vertical="top"/>
    </xf>
    <xf numFmtId="49" fontId="1" fillId="0" borderId="274" xfId="1" applyNumberFormat="1" applyFont="1" applyFill="1" applyBorder="1" applyAlignment="1">
      <alignment horizontal="center" vertical="center"/>
    </xf>
    <xf numFmtId="2" fontId="1" fillId="0" borderId="274" xfId="3" applyNumberFormat="1" applyFont="1" applyFill="1" applyBorder="1" applyAlignment="1">
      <alignment horizontal="center" vertical="center" wrapText="1"/>
    </xf>
    <xf numFmtId="1" fontId="3" fillId="0" borderId="260" xfId="1" applyNumberFormat="1" applyFont="1" applyBorder="1" applyAlignment="1">
      <alignment horizontal="center" vertical="center"/>
    </xf>
    <xf numFmtId="1" fontId="2" fillId="0" borderId="0" xfId="4" applyNumberFormat="1" applyFont="1" applyAlignment="1">
      <alignment vertical="center"/>
    </xf>
    <xf numFmtId="0" fontId="2" fillId="0" borderId="0" xfId="4" applyFont="1"/>
    <xf numFmtId="0" fontId="1" fillId="0" borderId="0" xfId="4" applyFont="1" applyFill="1" applyBorder="1" applyAlignment="1"/>
    <xf numFmtId="2" fontId="3" fillId="8" borderId="129" xfId="1" applyNumberFormat="1" applyFont="1" applyFill="1" applyBorder="1" applyAlignment="1">
      <alignment horizontal="center" vertical="center"/>
    </xf>
    <xf numFmtId="1" fontId="2" fillId="2" borderId="275" xfId="3" applyNumberFormat="1" applyFont="1" applyFill="1" applyBorder="1" applyAlignment="1">
      <alignment horizontal="center" vertical="center" wrapText="1"/>
    </xf>
    <xf numFmtId="1" fontId="2" fillId="2" borderId="170" xfId="3" applyNumberFormat="1" applyFont="1" applyFill="1" applyBorder="1" applyAlignment="1">
      <alignment horizontal="center" vertical="center" wrapText="1"/>
    </xf>
    <xf numFmtId="0" fontId="2" fillId="2" borderId="275" xfId="0" applyFont="1" applyFill="1" applyBorder="1" applyAlignment="1">
      <alignment horizontal="center" vertical="center" wrapText="1"/>
    </xf>
    <xf numFmtId="0" fontId="2" fillId="2" borderId="170" xfId="0" applyFont="1" applyFill="1" applyBorder="1" applyAlignment="1">
      <alignment horizontal="center" vertical="center" wrapText="1"/>
    </xf>
    <xf numFmtId="0" fontId="2" fillId="2" borderId="275" xfId="0" applyFont="1" applyFill="1" applyBorder="1" applyAlignment="1">
      <alignment horizontal="center"/>
    </xf>
    <xf numFmtId="0" fontId="5" fillId="0" borderId="275" xfId="4" applyFont="1" applyFill="1" applyBorder="1" applyAlignment="1">
      <alignment horizontal="center"/>
    </xf>
    <xf numFmtId="0" fontId="5" fillId="0" borderId="276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1" fontId="0" fillId="0" borderId="0" xfId="4" applyNumberFormat="1" applyFont="1" applyFill="1" applyBorder="1" applyAlignment="1">
      <alignment horizontal="left"/>
    </xf>
    <xf numFmtId="178" fontId="2" fillId="2" borderId="277" xfId="3" applyNumberFormat="1" applyFont="1" applyFill="1" applyBorder="1" applyAlignment="1">
      <alignment horizontal="center" textRotation="255" readingOrder="2"/>
    </xf>
    <xf numFmtId="178" fontId="2" fillId="2" borderId="206" xfId="3" applyNumberFormat="1" applyFont="1" applyFill="1" applyBorder="1" applyAlignment="1">
      <alignment horizontal="center" textRotation="255" readingOrder="2"/>
    </xf>
    <xf numFmtId="1" fontId="2" fillId="2" borderId="284" xfId="3" applyNumberFormat="1" applyFont="1" applyFill="1" applyBorder="1" applyAlignment="1">
      <alignment horizontal="center" vertical="center" wrapText="1"/>
    </xf>
    <xf numFmtId="1" fontId="2" fillId="2" borderId="98" xfId="3" applyNumberFormat="1" applyFont="1" applyFill="1" applyBorder="1" applyAlignment="1">
      <alignment horizontal="center" vertical="center" wrapText="1"/>
    </xf>
    <xf numFmtId="1" fontId="2" fillId="2" borderId="285" xfId="3" applyNumberFormat="1" applyFont="1" applyFill="1" applyBorder="1" applyAlignment="1">
      <alignment horizontal="center" vertical="center" wrapText="1"/>
    </xf>
    <xf numFmtId="1" fontId="2" fillId="2" borderId="129" xfId="3" applyNumberFormat="1" applyFont="1" applyFill="1" applyBorder="1" applyAlignment="1">
      <alignment horizontal="center" vertical="center" wrapText="1"/>
    </xf>
    <xf numFmtId="0" fontId="2" fillId="2" borderId="286" xfId="0" applyFont="1" applyFill="1" applyBorder="1" applyAlignment="1">
      <alignment horizontal="center" vertical="center" wrapText="1"/>
    </xf>
    <xf numFmtId="0" fontId="2" fillId="2" borderId="287" xfId="0" applyFont="1" applyFill="1" applyBorder="1" applyAlignment="1">
      <alignment horizontal="center" vertical="center" wrapText="1"/>
    </xf>
    <xf numFmtId="0" fontId="2" fillId="2" borderId="278" xfId="0" applyFont="1" applyFill="1" applyBorder="1" applyAlignment="1">
      <alignment horizontal="center"/>
    </xf>
    <xf numFmtId="0" fontId="1" fillId="0" borderId="279" xfId="4" applyFont="1" applyFill="1" applyBorder="1" applyAlignment="1">
      <alignment horizontal="center"/>
    </xf>
    <xf numFmtId="0" fontId="1" fillId="0" borderId="280" xfId="4" applyFont="1" applyFill="1" applyBorder="1" applyAlignment="1">
      <alignment horizontal="center"/>
    </xf>
    <xf numFmtId="0" fontId="1" fillId="0" borderId="0" xfId="4" applyFont="1" applyFill="1" applyBorder="1" applyAlignment="1"/>
    <xf numFmtId="0" fontId="0" fillId="0" borderId="0" xfId="4" applyFont="1" applyFill="1" applyBorder="1" applyAlignment="1">
      <alignment horizontal="center"/>
    </xf>
    <xf numFmtId="178" fontId="2" fillId="2" borderId="281" xfId="3" applyNumberFormat="1" applyFont="1" applyFill="1" applyBorder="1" applyAlignment="1">
      <alignment horizontal="center" textRotation="255" readingOrder="2"/>
    </xf>
    <xf numFmtId="178" fontId="2" fillId="2" borderId="173" xfId="3" applyNumberFormat="1" applyFont="1" applyFill="1" applyBorder="1" applyAlignment="1">
      <alignment horizontal="center" textRotation="255" readingOrder="2"/>
    </xf>
    <xf numFmtId="1" fontId="2" fillId="2" borderId="282" xfId="3" applyNumberFormat="1" applyFont="1" applyFill="1" applyBorder="1" applyAlignment="1">
      <alignment horizontal="center" vertical="center" wrapText="1"/>
    </xf>
    <xf numFmtId="1" fontId="2" fillId="2" borderId="283" xfId="3" applyNumberFormat="1" applyFont="1" applyFill="1" applyBorder="1" applyAlignment="1">
      <alignment horizontal="center" vertical="center" wrapText="1"/>
    </xf>
    <xf numFmtId="1" fontId="4" fillId="2" borderId="275" xfId="3" applyNumberFormat="1" applyFont="1" applyFill="1" applyBorder="1" applyAlignment="1">
      <alignment horizontal="center" vertical="center" wrapText="1"/>
    </xf>
    <xf numFmtId="1" fontId="4" fillId="2" borderId="170" xfId="3" applyNumberFormat="1" applyFont="1" applyFill="1" applyBorder="1" applyAlignment="1">
      <alignment horizontal="center" vertical="center" wrapText="1"/>
    </xf>
    <xf numFmtId="0" fontId="4" fillId="2" borderId="275" xfId="0" applyFont="1" applyFill="1" applyBorder="1" applyAlignment="1">
      <alignment horizontal="center" vertical="center" wrapText="1"/>
    </xf>
    <xf numFmtId="0" fontId="4" fillId="2" borderId="170" xfId="0" applyFont="1" applyFill="1" applyBorder="1" applyAlignment="1">
      <alignment horizontal="center" vertical="center" wrapText="1"/>
    </xf>
    <xf numFmtId="0" fontId="4" fillId="2" borderId="275" xfId="0" applyFont="1" applyFill="1" applyBorder="1" applyAlignment="1">
      <alignment horizontal="center"/>
    </xf>
    <xf numFmtId="0" fontId="2" fillId="2" borderId="288" xfId="0" applyFont="1" applyFill="1" applyBorder="1" applyAlignment="1">
      <alignment horizontal="center"/>
    </xf>
    <xf numFmtId="0" fontId="1" fillId="0" borderId="289" xfId="4" applyFont="1" applyFill="1" applyBorder="1" applyAlignment="1">
      <alignment horizontal="center"/>
    </xf>
    <xf numFmtId="0" fontId="8" fillId="0" borderId="292" xfId="4" applyFont="1" applyFill="1" applyBorder="1" applyAlignment="1">
      <alignment horizontal="center"/>
    </xf>
    <xf numFmtId="0" fontId="8" fillId="0" borderId="293" xfId="4" applyFont="1" applyFill="1" applyBorder="1" applyAlignment="1">
      <alignment horizontal="center"/>
    </xf>
    <xf numFmtId="178" fontId="8" fillId="2" borderId="281" xfId="3" applyNumberFormat="1" applyFont="1" applyFill="1" applyBorder="1" applyAlignment="1">
      <alignment horizontal="center" textRotation="255" readingOrder="2"/>
    </xf>
    <xf numFmtId="178" fontId="8" fillId="2" borderId="173" xfId="3" applyNumberFormat="1" applyFont="1" applyFill="1" applyBorder="1" applyAlignment="1">
      <alignment horizontal="center" textRotation="255" readingOrder="2"/>
    </xf>
    <xf numFmtId="1" fontId="8" fillId="2" borderId="290" xfId="3" applyNumberFormat="1" applyFont="1" applyFill="1" applyBorder="1" applyAlignment="1">
      <alignment horizontal="center" vertical="center" wrapText="1"/>
    </xf>
    <xf numFmtId="1" fontId="8" fillId="2" borderId="115" xfId="3" applyNumberFormat="1" applyFont="1" applyFill="1" applyBorder="1" applyAlignment="1">
      <alignment horizontal="center" vertical="center" wrapText="1"/>
    </xf>
    <xf numFmtId="1" fontId="8" fillId="2" borderId="291" xfId="3" applyNumberFormat="1" applyFont="1" applyFill="1" applyBorder="1" applyAlignment="1">
      <alignment horizontal="center" vertical="center" wrapText="1"/>
    </xf>
    <xf numFmtId="1" fontId="8" fillId="2" borderId="134" xfId="3" applyNumberFormat="1" applyFont="1" applyFill="1" applyBorder="1" applyAlignment="1">
      <alignment horizontal="center" vertical="center" wrapText="1"/>
    </xf>
    <xf numFmtId="0" fontId="8" fillId="2" borderId="291" xfId="0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 wrapText="1"/>
    </xf>
    <xf numFmtId="0" fontId="8" fillId="2" borderId="291" xfId="0" applyFont="1" applyFill="1" applyBorder="1" applyAlignment="1">
      <alignment horizontal="center"/>
    </xf>
    <xf numFmtId="178" fontId="2" fillId="2" borderId="168" xfId="3" applyNumberFormat="1" applyFont="1" applyFill="1" applyBorder="1" applyAlignment="1">
      <alignment horizontal="center" textRotation="255" readingOrder="2"/>
    </xf>
    <xf numFmtId="1" fontId="4" fillId="2" borderId="129" xfId="3" applyNumberFormat="1" applyFont="1" applyFill="1" applyBorder="1" applyAlignment="1">
      <alignment horizontal="center" vertical="center" wrapText="1"/>
    </xf>
    <xf numFmtId="0" fontId="4" fillId="2" borderId="287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/>
    </xf>
    <xf numFmtId="0" fontId="5" fillId="0" borderId="167" xfId="4" applyFont="1" applyFill="1" applyBorder="1" applyAlignment="1">
      <alignment horizontal="center"/>
    </xf>
    <xf numFmtId="0" fontId="4" fillId="2" borderId="278" xfId="0" applyFont="1" applyFill="1" applyBorder="1" applyAlignment="1">
      <alignment horizontal="center"/>
    </xf>
    <xf numFmtId="0" fontId="5" fillId="0" borderId="279" xfId="4" applyFont="1" applyFill="1" applyBorder="1" applyAlignment="1">
      <alignment horizontal="center"/>
    </xf>
    <xf numFmtId="0" fontId="5" fillId="0" borderId="28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1" fontId="4" fillId="2" borderId="285" xfId="3" applyNumberFormat="1" applyFont="1" applyFill="1" applyBorder="1" applyAlignment="1">
      <alignment horizontal="center" vertical="center" wrapText="1"/>
    </xf>
    <xf numFmtId="0" fontId="4" fillId="2" borderId="286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2" fillId="2" borderId="294" xfId="0" applyFont="1" applyFill="1" applyBorder="1" applyAlignment="1">
      <alignment horizontal="center"/>
    </xf>
    <xf numFmtId="0" fontId="1" fillId="0" borderId="295" xfId="4" applyFont="1" applyFill="1" applyBorder="1" applyAlignment="1">
      <alignment horizontal="center"/>
    </xf>
    <xf numFmtId="1" fontId="2" fillId="2" borderId="296" xfId="3" applyNumberFormat="1" applyFont="1" applyFill="1" applyBorder="1" applyAlignment="1">
      <alignment horizontal="center" vertical="center" wrapText="1"/>
    </xf>
    <xf numFmtId="1" fontId="2" fillId="2" borderId="169" xfId="3" applyNumberFormat="1" applyFont="1" applyFill="1" applyBorder="1" applyAlignment="1">
      <alignment horizontal="center" vertical="center" wrapText="1"/>
    </xf>
    <xf numFmtId="1" fontId="2" fillId="2" borderId="291" xfId="3" applyNumberFormat="1" applyFont="1" applyFill="1" applyBorder="1" applyAlignment="1">
      <alignment horizontal="center" vertical="center" wrapText="1"/>
    </xf>
    <xf numFmtId="1" fontId="2" fillId="2" borderId="134" xfId="3" applyNumberFormat="1" applyFont="1" applyFill="1" applyBorder="1" applyAlignment="1">
      <alignment horizontal="center" vertical="center" wrapText="1"/>
    </xf>
    <xf numFmtId="0" fontId="2" fillId="2" borderId="297" xfId="0" applyFont="1" applyFill="1" applyBorder="1" applyAlignment="1">
      <alignment horizontal="center" vertical="center" wrapText="1"/>
    </xf>
    <xf numFmtId="0" fontId="2" fillId="2" borderId="132" xfId="0" applyFont="1" applyFill="1" applyBorder="1" applyAlignment="1">
      <alignment horizontal="center" vertical="center" wrapText="1"/>
    </xf>
    <xf numFmtId="1" fontId="0" fillId="0" borderId="0" xfId="4" applyNumberFormat="1" applyFont="1" applyFill="1" applyBorder="1" applyAlignment="1">
      <alignment horizontal="center" vertical="center"/>
    </xf>
    <xf numFmtId="1" fontId="0" fillId="0" borderId="0" xfId="4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 vertical="center"/>
    </xf>
    <xf numFmtId="1" fontId="2" fillId="2" borderId="290" xfId="3" applyNumberFormat="1" applyFont="1" applyFill="1" applyBorder="1" applyAlignment="1">
      <alignment horizontal="center" vertical="center" wrapText="1"/>
    </xf>
    <xf numFmtId="1" fontId="2" fillId="2" borderId="115" xfId="3" applyNumberFormat="1" applyFont="1" applyFill="1" applyBorder="1" applyAlignment="1">
      <alignment horizontal="center" vertical="center" wrapText="1"/>
    </xf>
    <xf numFmtId="1" fontId="2" fillId="2" borderId="297" xfId="3" applyNumberFormat="1" applyFont="1" applyFill="1" applyBorder="1" applyAlignment="1">
      <alignment horizontal="center" vertical="center" wrapText="1"/>
    </xf>
    <xf numFmtId="1" fontId="2" fillId="2" borderId="132" xfId="3" applyNumberFormat="1" applyFont="1" applyFill="1" applyBorder="1" applyAlignment="1">
      <alignment horizontal="center" vertical="center" wrapText="1"/>
    </xf>
    <xf numFmtId="1" fontId="2" fillId="2" borderId="298" xfId="3" applyNumberFormat="1" applyFont="1" applyFill="1" applyBorder="1" applyAlignment="1">
      <alignment horizontal="center" vertical="center" wrapText="1"/>
    </xf>
    <xf numFmtId="1" fontId="2" fillId="2" borderId="97" xfId="3" applyNumberFormat="1" applyFont="1" applyFill="1" applyBorder="1" applyAlignment="1">
      <alignment horizontal="center" vertical="center" wrapText="1"/>
    </xf>
    <xf numFmtId="1" fontId="2" fillId="2" borderId="292" xfId="3" applyNumberFormat="1" applyFont="1" applyFill="1" applyBorder="1" applyAlignment="1">
      <alignment horizontal="center" vertical="center" wrapText="1"/>
    </xf>
    <xf numFmtId="1" fontId="2" fillId="2" borderId="171" xfId="3" applyNumberFormat="1" applyFont="1" applyFill="1" applyBorder="1" applyAlignment="1">
      <alignment horizontal="center" vertical="center" wrapText="1"/>
    </xf>
    <xf numFmtId="0" fontId="2" fillId="2" borderId="299" xfId="0" applyFont="1" applyFill="1" applyBorder="1" applyAlignment="1">
      <alignment horizontal="center" vertical="center" wrapText="1"/>
    </xf>
    <xf numFmtId="0" fontId="2" fillId="2" borderId="300" xfId="0" applyFont="1" applyFill="1" applyBorder="1" applyAlignment="1">
      <alignment horizontal="center" vertical="center" wrapText="1"/>
    </xf>
    <xf numFmtId="0" fontId="1" fillId="0" borderId="303" xfId="4" applyFont="1" applyFill="1" applyBorder="1" applyAlignment="1">
      <alignment horizontal="center"/>
    </xf>
    <xf numFmtId="1" fontId="2" fillId="2" borderId="20" xfId="3" applyNumberFormat="1" applyFont="1" applyFill="1" applyBorder="1" applyAlignment="1">
      <alignment horizontal="center" vertical="center" wrapText="1"/>
    </xf>
    <xf numFmtId="0" fontId="2" fillId="2" borderId="301" xfId="0" applyFont="1" applyFill="1" applyBorder="1" applyAlignment="1">
      <alignment horizontal="center" vertical="center" wrapText="1"/>
    </xf>
    <xf numFmtId="0" fontId="2" fillId="2" borderId="202" xfId="0" applyFont="1" applyFill="1" applyBorder="1" applyAlignment="1">
      <alignment horizontal="center" vertical="center" wrapText="1"/>
    </xf>
    <xf numFmtId="0" fontId="2" fillId="2" borderId="302" xfId="0" applyFont="1" applyFill="1" applyBorder="1" applyAlignment="1">
      <alignment horizontal="center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/>
    </xf>
    <xf numFmtId="1" fontId="2" fillId="2" borderId="304" xfId="3" applyNumberFormat="1" applyFont="1" applyFill="1" applyBorder="1" applyAlignment="1">
      <alignment horizontal="center" vertical="center" wrapText="1"/>
    </xf>
    <xf numFmtId="1" fontId="2" fillId="2" borderId="258" xfId="3" applyNumberFormat="1" applyFont="1" applyFill="1" applyBorder="1" applyAlignment="1">
      <alignment horizontal="center" vertical="center" wrapText="1"/>
    </xf>
    <xf numFmtId="1" fontId="2" fillId="2" borderId="305" xfId="3" applyNumberFormat="1" applyFont="1" applyFill="1" applyBorder="1" applyAlignment="1">
      <alignment horizontal="center" vertical="center" wrapText="1"/>
    </xf>
    <xf numFmtId="1" fontId="2" fillId="2" borderId="136" xfId="3" applyNumberFormat="1" applyFont="1" applyFill="1" applyBorder="1" applyAlignment="1">
      <alignment horizontal="center" vertical="center" wrapText="1"/>
    </xf>
    <xf numFmtId="0" fontId="2" fillId="0" borderId="0" xfId="4" applyFont="1" applyFill="1" applyBorder="1" applyAlignment="1"/>
    <xf numFmtId="0" fontId="11" fillId="0" borderId="0" xfId="4" applyFont="1" applyFill="1" applyBorder="1" applyAlignment="1">
      <alignment horizontal="center" wrapText="1"/>
    </xf>
    <xf numFmtId="0" fontId="2" fillId="2" borderId="306" xfId="0" applyFont="1" applyFill="1" applyBorder="1" applyAlignment="1">
      <alignment horizontal="center" vertical="center" wrapText="1"/>
    </xf>
    <xf numFmtId="0" fontId="2" fillId="2" borderId="307" xfId="0" applyFont="1" applyFill="1" applyBorder="1" applyAlignment="1">
      <alignment horizontal="center" vertical="center" wrapText="1"/>
    </xf>
  </cellXfs>
  <cellStyles count="6">
    <cellStyle name="Normal" xfId="0" builtinId="0"/>
    <cellStyle name="Normal_Anexa F 140 146 10.07" xfId="1" xr:uid="{9971E144-750D-4147-AA15-9E337E232AB5}"/>
    <cellStyle name="Normal_F 07" xfId="2" xr:uid="{BE19F758-BA7F-49D2-9C7C-99D2DAB407C3}"/>
    <cellStyle name="Normal_mach03" xfId="3" xr:uid="{B486335B-6C08-4FF5-990A-3B02793CB36D}"/>
    <cellStyle name="Normal_mach31" xfId="4" xr:uid="{3DCC855B-CD04-4348-AF5F-F32F2FB3C2BD}"/>
    <cellStyle name="Virgulă" xfId="5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5" name="Text Box 5">
          <a:extLst>
            <a:ext uri="{FF2B5EF4-FFF2-40B4-BE49-F238E27FC236}">
              <a16:creationId xmlns:a16="http://schemas.microsoft.com/office/drawing/2014/main" id="{9A0ED725-0F10-507B-ABBC-840C84DEFB4C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1" name="Text Box 5">
          <a:extLst>
            <a:ext uri="{FF2B5EF4-FFF2-40B4-BE49-F238E27FC236}">
              <a16:creationId xmlns:a16="http://schemas.microsoft.com/office/drawing/2014/main" id="{E6AC74A3-3878-6B0B-B2DD-29BB917E825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2" name="Text Box 5">
          <a:extLst>
            <a:ext uri="{FF2B5EF4-FFF2-40B4-BE49-F238E27FC236}">
              <a16:creationId xmlns:a16="http://schemas.microsoft.com/office/drawing/2014/main" id="{059861BD-6624-B7B8-EF93-379D2C4DC54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5" name="Text Box 5">
          <a:extLst>
            <a:ext uri="{FF2B5EF4-FFF2-40B4-BE49-F238E27FC236}">
              <a16:creationId xmlns:a16="http://schemas.microsoft.com/office/drawing/2014/main" id="{D3EB1748-F906-F8E7-72DE-5BA655DB0BE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6" name="Text Box 5">
          <a:extLst>
            <a:ext uri="{FF2B5EF4-FFF2-40B4-BE49-F238E27FC236}">
              <a16:creationId xmlns:a16="http://schemas.microsoft.com/office/drawing/2014/main" id="{7CF1A775-6F48-60B9-2375-625A4AF2C3F6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89" name="Text Box 5">
          <a:extLst>
            <a:ext uri="{FF2B5EF4-FFF2-40B4-BE49-F238E27FC236}">
              <a16:creationId xmlns:a16="http://schemas.microsoft.com/office/drawing/2014/main" id="{6AEDC786-1458-CF86-C811-AC076C96EE6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90" name="Text Box 5">
          <a:extLst>
            <a:ext uri="{FF2B5EF4-FFF2-40B4-BE49-F238E27FC236}">
              <a16:creationId xmlns:a16="http://schemas.microsoft.com/office/drawing/2014/main" id="{B9A7D448-CF9D-ED39-10ED-BA72BCD4898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3" name="Text Box 5">
          <a:extLst>
            <a:ext uri="{FF2B5EF4-FFF2-40B4-BE49-F238E27FC236}">
              <a16:creationId xmlns:a16="http://schemas.microsoft.com/office/drawing/2014/main" id="{5298F501-744A-6823-7D23-0CC3992E1CF1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4" name="Text Box 5">
          <a:extLst>
            <a:ext uri="{FF2B5EF4-FFF2-40B4-BE49-F238E27FC236}">
              <a16:creationId xmlns:a16="http://schemas.microsoft.com/office/drawing/2014/main" id="{E155D1A2-B340-2E72-FBC8-E126BB0B1D8D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5" name="Text Box 5">
          <a:extLst>
            <a:ext uri="{FF2B5EF4-FFF2-40B4-BE49-F238E27FC236}">
              <a16:creationId xmlns:a16="http://schemas.microsoft.com/office/drawing/2014/main" id="{484C7721-7C74-C6DA-1DCD-DEA3BF78A521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6" name="Text Box 5">
          <a:extLst>
            <a:ext uri="{FF2B5EF4-FFF2-40B4-BE49-F238E27FC236}">
              <a16:creationId xmlns:a16="http://schemas.microsoft.com/office/drawing/2014/main" id="{31F0A396-5371-823E-5AFC-4D4BB59DFC84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7" name="Text Box 5">
          <a:extLst>
            <a:ext uri="{FF2B5EF4-FFF2-40B4-BE49-F238E27FC236}">
              <a16:creationId xmlns:a16="http://schemas.microsoft.com/office/drawing/2014/main" id="{F5C567BD-DBEE-39B1-48AF-8F6424D4C39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8" name="Text Box 5">
          <a:extLst>
            <a:ext uri="{FF2B5EF4-FFF2-40B4-BE49-F238E27FC236}">
              <a16:creationId xmlns:a16="http://schemas.microsoft.com/office/drawing/2014/main" id="{3F18A4D0-F50F-083F-503C-F3A566EB1A9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9" name="Text Box 5">
          <a:extLst>
            <a:ext uri="{FF2B5EF4-FFF2-40B4-BE49-F238E27FC236}">
              <a16:creationId xmlns:a16="http://schemas.microsoft.com/office/drawing/2014/main" id="{538124E8-07C2-CEA3-E065-9927882702C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0" name="Text Box 5">
          <a:extLst>
            <a:ext uri="{FF2B5EF4-FFF2-40B4-BE49-F238E27FC236}">
              <a16:creationId xmlns:a16="http://schemas.microsoft.com/office/drawing/2014/main" id="{95D954A2-2154-EBD3-B250-F7C44153D78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1" name="Text Box 5">
          <a:extLst>
            <a:ext uri="{FF2B5EF4-FFF2-40B4-BE49-F238E27FC236}">
              <a16:creationId xmlns:a16="http://schemas.microsoft.com/office/drawing/2014/main" id="{4B3B124F-A722-F31F-610D-686EB312CCD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2" name="Text Box 5">
          <a:extLst>
            <a:ext uri="{FF2B5EF4-FFF2-40B4-BE49-F238E27FC236}">
              <a16:creationId xmlns:a16="http://schemas.microsoft.com/office/drawing/2014/main" id="{81BDFC81-771D-39D6-13B9-0A2D0398F146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3" name="Text Box 5">
          <a:extLst>
            <a:ext uri="{FF2B5EF4-FFF2-40B4-BE49-F238E27FC236}">
              <a16:creationId xmlns:a16="http://schemas.microsoft.com/office/drawing/2014/main" id="{4D9CD1F6-F564-449C-8BF0-DBF28E0A8CB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4" name="Text Box 5">
          <a:extLst>
            <a:ext uri="{FF2B5EF4-FFF2-40B4-BE49-F238E27FC236}">
              <a16:creationId xmlns:a16="http://schemas.microsoft.com/office/drawing/2014/main" id="{62DCF5E3-BB27-54B4-B688-E718CC22D81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1" name="Text Box 5">
          <a:extLst>
            <a:ext uri="{FF2B5EF4-FFF2-40B4-BE49-F238E27FC236}">
              <a16:creationId xmlns:a16="http://schemas.microsoft.com/office/drawing/2014/main" id="{5E5F3056-7599-6DA8-B21E-8608FC941E5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2" name="Text Box 5">
          <a:extLst>
            <a:ext uri="{FF2B5EF4-FFF2-40B4-BE49-F238E27FC236}">
              <a16:creationId xmlns:a16="http://schemas.microsoft.com/office/drawing/2014/main" id="{9DB9820D-20A1-2C9B-8251-8C092087997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3" name="Text Box 5">
          <a:extLst>
            <a:ext uri="{FF2B5EF4-FFF2-40B4-BE49-F238E27FC236}">
              <a16:creationId xmlns:a16="http://schemas.microsoft.com/office/drawing/2014/main" id="{5DA8A1DD-7704-2DD8-7DD6-19EEF5D344E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4" name="Text Box 5">
          <a:extLst>
            <a:ext uri="{FF2B5EF4-FFF2-40B4-BE49-F238E27FC236}">
              <a16:creationId xmlns:a16="http://schemas.microsoft.com/office/drawing/2014/main" id="{0F39BFD4-16D7-03FD-F083-166BE83E4D5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5" name="Text Box 5">
          <a:extLst>
            <a:ext uri="{FF2B5EF4-FFF2-40B4-BE49-F238E27FC236}">
              <a16:creationId xmlns:a16="http://schemas.microsoft.com/office/drawing/2014/main" id="{58DD95DB-282F-2206-EE4F-DBC54C8E73A9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6" name="Text Box 5">
          <a:extLst>
            <a:ext uri="{FF2B5EF4-FFF2-40B4-BE49-F238E27FC236}">
              <a16:creationId xmlns:a16="http://schemas.microsoft.com/office/drawing/2014/main" id="{0C39AC6D-B0EC-8748-8472-E919358BC649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7" name="Text Box 5">
          <a:extLst>
            <a:ext uri="{FF2B5EF4-FFF2-40B4-BE49-F238E27FC236}">
              <a16:creationId xmlns:a16="http://schemas.microsoft.com/office/drawing/2014/main" id="{628D5473-7BE1-1F56-F2E9-FED5D23253DA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8" name="Text Box 5">
          <a:extLst>
            <a:ext uri="{FF2B5EF4-FFF2-40B4-BE49-F238E27FC236}">
              <a16:creationId xmlns:a16="http://schemas.microsoft.com/office/drawing/2014/main" id="{0A77C2DA-1F71-96E9-45EC-17851A481F69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9" name="Text Box 5">
          <a:extLst>
            <a:ext uri="{FF2B5EF4-FFF2-40B4-BE49-F238E27FC236}">
              <a16:creationId xmlns:a16="http://schemas.microsoft.com/office/drawing/2014/main" id="{6BA447B8-E31B-DCE0-EC26-AFD19E4C40C1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0" name="Text Box 5">
          <a:extLst>
            <a:ext uri="{FF2B5EF4-FFF2-40B4-BE49-F238E27FC236}">
              <a16:creationId xmlns:a16="http://schemas.microsoft.com/office/drawing/2014/main" id="{FFD28BD6-A8B3-13C1-EB13-41AE3C022CD7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1" name="Text Box 5">
          <a:extLst>
            <a:ext uri="{FF2B5EF4-FFF2-40B4-BE49-F238E27FC236}">
              <a16:creationId xmlns:a16="http://schemas.microsoft.com/office/drawing/2014/main" id="{70D3F80B-DBC6-103D-479A-236E3608C2D5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2" name="Text Box 5">
          <a:extLst>
            <a:ext uri="{FF2B5EF4-FFF2-40B4-BE49-F238E27FC236}">
              <a16:creationId xmlns:a16="http://schemas.microsoft.com/office/drawing/2014/main" id="{03896EF4-3DAE-A2FE-CA58-B4EFEE85AB11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09" name="Text Box 5">
          <a:extLst>
            <a:ext uri="{FF2B5EF4-FFF2-40B4-BE49-F238E27FC236}">
              <a16:creationId xmlns:a16="http://schemas.microsoft.com/office/drawing/2014/main" id="{48459693-AA7F-21D4-1DFF-81BCD10FCA4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0" name="Text Box 5">
          <a:extLst>
            <a:ext uri="{FF2B5EF4-FFF2-40B4-BE49-F238E27FC236}">
              <a16:creationId xmlns:a16="http://schemas.microsoft.com/office/drawing/2014/main" id="{325E4E9E-122B-7DE8-951C-9E5B0982860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1" name="Text Box 5">
          <a:extLst>
            <a:ext uri="{FF2B5EF4-FFF2-40B4-BE49-F238E27FC236}">
              <a16:creationId xmlns:a16="http://schemas.microsoft.com/office/drawing/2014/main" id="{382302E4-2352-1698-2BBD-ED5117DEE21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2" name="Text Box 5">
          <a:extLst>
            <a:ext uri="{FF2B5EF4-FFF2-40B4-BE49-F238E27FC236}">
              <a16:creationId xmlns:a16="http://schemas.microsoft.com/office/drawing/2014/main" id="{0BF68B3A-3CBF-065B-55FB-46CA924843C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3" name="Text Box 5">
          <a:extLst>
            <a:ext uri="{FF2B5EF4-FFF2-40B4-BE49-F238E27FC236}">
              <a16:creationId xmlns:a16="http://schemas.microsoft.com/office/drawing/2014/main" id="{F7AC11B9-FF96-3CFF-9C8B-944FAA18CB0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4" name="Text Box 5">
          <a:extLst>
            <a:ext uri="{FF2B5EF4-FFF2-40B4-BE49-F238E27FC236}">
              <a16:creationId xmlns:a16="http://schemas.microsoft.com/office/drawing/2014/main" id="{2AB71103-164A-E535-23F0-D268DFDA465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5" name="Text Box 5">
          <a:extLst>
            <a:ext uri="{FF2B5EF4-FFF2-40B4-BE49-F238E27FC236}">
              <a16:creationId xmlns:a16="http://schemas.microsoft.com/office/drawing/2014/main" id="{2E060819-4654-9739-5A7A-405BEED7319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6" name="Text Box 5">
          <a:extLst>
            <a:ext uri="{FF2B5EF4-FFF2-40B4-BE49-F238E27FC236}">
              <a16:creationId xmlns:a16="http://schemas.microsoft.com/office/drawing/2014/main" id="{9C575A62-511D-E220-C4AD-5A8C7ACD036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3" name="Text Box 5">
          <a:extLst>
            <a:ext uri="{FF2B5EF4-FFF2-40B4-BE49-F238E27FC236}">
              <a16:creationId xmlns:a16="http://schemas.microsoft.com/office/drawing/2014/main" id="{F3954483-017F-C9D2-A459-5CE7FB71020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4" name="Text Box 5">
          <a:extLst>
            <a:ext uri="{FF2B5EF4-FFF2-40B4-BE49-F238E27FC236}">
              <a16:creationId xmlns:a16="http://schemas.microsoft.com/office/drawing/2014/main" id="{C61707A6-81EE-6FC8-3472-2B9D65988E6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5" name="Text Box 5">
          <a:extLst>
            <a:ext uri="{FF2B5EF4-FFF2-40B4-BE49-F238E27FC236}">
              <a16:creationId xmlns:a16="http://schemas.microsoft.com/office/drawing/2014/main" id="{CE41C536-801A-796D-08B7-7F69C955F44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6" name="Text Box 5">
          <a:extLst>
            <a:ext uri="{FF2B5EF4-FFF2-40B4-BE49-F238E27FC236}">
              <a16:creationId xmlns:a16="http://schemas.microsoft.com/office/drawing/2014/main" id="{5E829380-2159-920E-5DD3-12E8DAF66D6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7" name="Text Box 5">
          <a:extLst>
            <a:ext uri="{FF2B5EF4-FFF2-40B4-BE49-F238E27FC236}">
              <a16:creationId xmlns:a16="http://schemas.microsoft.com/office/drawing/2014/main" id="{0E883787-4CDF-B67A-4619-8BE0EB25A91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8" name="Text Box 5">
          <a:extLst>
            <a:ext uri="{FF2B5EF4-FFF2-40B4-BE49-F238E27FC236}">
              <a16:creationId xmlns:a16="http://schemas.microsoft.com/office/drawing/2014/main" id="{06DC7F32-70BF-A9D8-1896-5F84118A74F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9" name="Text Box 5">
          <a:extLst>
            <a:ext uri="{FF2B5EF4-FFF2-40B4-BE49-F238E27FC236}">
              <a16:creationId xmlns:a16="http://schemas.microsoft.com/office/drawing/2014/main" id="{7C196FCF-8E67-FE3D-1C65-2A2AE82127E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40" name="Text Box 5">
          <a:extLst>
            <a:ext uri="{FF2B5EF4-FFF2-40B4-BE49-F238E27FC236}">
              <a16:creationId xmlns:a16="http://schemas.microsoft.com/office/drawing/2014/main" id="{A57E1825-BDB4-6CE4-815B-984F52681F8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7" name="Text Box 5">
          <a:extLst>
            <a:ext uri="{FF2B5EF4-FFF2-40B4-BE49-F238E27FC236}">
              <a16:creationId xmlns:a16="http://schemas.microsoft.com/office/drawing/2014/main" id="{F1D5685E-7DF1-28D1-1A5A-934CC0CFA6F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8" name="Text Box 5">
          <a:extLst>
            <a:ext uri="{FF2B5EF4-FFF2-40B4-BE49-F238E27FC236}">
              <a16:creationId xmlns:a16="http://schemas.microsoft.com/office/drawing/2014/main" id="{84327D69-91F4-BA63-A538-9847008F6A3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9" name="Text Box 5">
          <a:extLst>
            <a:ext uri="{FF2B5EF4-FFF2-40B4-BE49-F238E27FC236}">
              <a16:creationId xmlns:a16="http://schemas.microsoft.com/office/drawing/2014/main" id="{BAE308C8-2317-B348-5913-C8D58A60F3B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0" name="Text Box 5">
          <a:extLst>
            <a:ext uri="{FF2B5EF4-FFF2-40B4-BE49-F238E27FC236}">
              <a16:creationId xmlns:a16="http://schemas.microsoft.com/office/drawing/2014/main" id="{630670AE-1DD7-19B7-BFD7-D3437E2CABB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1" name="Text Box 5">
          <a:extLst>
            <a:ext uri="{FF2B5EF4-FFF2-40B4-BE49-F238E27FC236}">
              <a16:creationId xmlns:a16="http://schemas.microsoft.com/office/drawing/2014/main" id="{22AB912B-B79E-6B8B-1288-F1151744DB0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2" name="Text Box 5">
          <a:extLst>
            <a:ext uri="{FF2B5EF4-FFF2-40B4-BE49-F238E27FC236}">
              <a16:creationId xmlns:a16="http://schemas.microsoft.com/office/drawing/2014/main" id="{01043FE3-3769-9DA0-8B55-5BD043E925F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3" name="Text Box 5">
          <a:extLst>
            <a:ext uri="{FF2B5EF4-FFF2-40B4-BE49-F238E27FC236}">
              <a16:creationId xmlns:a16="http://schemas.microsoft.com/office/drawing/2014/main" id="{3063EBC3-77D8-FD80-B68D-FF1B09150D9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4" name="Text Box 5">
          <a:extLst>
            <a:ext uri="{FF2B5EF4-FFF2-40B4-BE49-F238E27FC236}">
              <a16:creationId xmlns:a16="http://schemas.microsoft.com/office/drawing/2014/main" id="{E3DCAA58-5006-214D-9F6D-5E16F2D3D73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2" name="Text Box 5">
          <a:extLst>
            <a:ext uri="{FF2B5EF4-FFF2-40B4-BE49-F238E27FC236}">
              <a16:creationId xmlns:a16="http://schemas.microsoft.com/office/drawing/2014/main" id="{CBE80270-C4E4-6DBD-1FD6-FD49A87A4AB1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" name="Text Box 5">
          <a:extLst>
            <a:ext uri="{FF2B5EF4-FFF2-40B4-BE49-F238E27FC236}">
              <a16:creationId xmlns:a16="http://schemas.microsoft.com/office/drawing/2014/main" id="{53E38563-5868-BF39-9F4D-CDC9B0F69371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1" name="Text Box 5">
          <a:extLst>
            <a:ext uri="{FF2B5EF4-FFF2-40B4-BE49-F238E27FC236}">
              <a16:creationId xmlns:a16="http://schemas.microsoft.com/office/drawing/2014/main" id="{4EFACAB7-3D86-E140-97F1-B7A9EBBB5AF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2" name="Text Box 5">
          <a:extLst>
            <a:ext uri="{FF2B5EF4-FFF2-40B4-BE49-F238E27FC236}">
              <a16:creationId xmlns:a16="http://schemas.microsoft.com/office/drawing/2014/main" id="{59C26610-FB8F-CBEC-B205-D1743BDB083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3" name="Text Box 5">
          <a:extLst>
            <a:ext uri="{FF2B5EF4-FFF2-40B4-BE49-F238E27FC236}">
              <a16:creationId xmlns:a16="http://schemas.microsoft.com/office/drawing/2014/main" id="{1AA9A695-256B-1835-88CE-ED692E76B79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4" name="Text Box 5">
          <a:extLst>
            <a:ext uri="{FF2B5EF4-FFF2-40B4-BE49-F238E27FC236}">
              <a16:creationId xmlns:a16="http://schemas.microsoft.com/office/drawing/2014/main" id="{C01A0B0D-121B-C8A4-8D47-5557A27383D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5" name="Text Box 5">
          <a:extLst>
            <a:ext uri="{FF2B5EF4-FFF2-40B4-BE49-F238E27FC236}">
              <a16:creationId xmlns:a16="http://schemas.microsoft.com/office/drawing/2014/main" id="{7DC1608E-3CEA-EFD0-14B4-89F1439A886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6" name="Text Box 5">
          <a:extLst>
            <a:ext uri="{FF2B5EF4-FFF2-40B4-BE49-F238E27FC236}">
              <a16:creationId xmlns:a16="http://schemas.microsoft.com/office/drawing/2014/main" id="{9B889AF4-586F-CB5F-6822-16150DDA474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7" name="Text Box 5">
          <a:extLst>
            <a:ext uri="{FF2B5EF4-FFF2-40B4-BE49-F238E27FC236}">
              <a16:creationId xmlns:a16="http://schemas.microsoft.com/office/drawing/2014/main" id="{3837AEAB-66ED-BEC5-2489-ED78F109F25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8" name="Text Box 5">
          <a:extLst>
            <a:ext uri="{FF2B5EF4-FFF2-40B4-BE49-F238E27FC236}">
              <a16:creationId xmlns:a16="http://schemas.microsoft.com/office/drawing/2014/main" id="{525C1E74-53EC-340C-77B6-10E98F9CE71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9" name="Text Box 5">
          <a:extLst>
            <a:ext uri="{FF2B5EF4-FFF2-40B4-BE49-F238E27FC236}">
              <a16:creationId xmlns:a16="http://schemas.microsoft.com/office/drawing/2014/main" id="{A21B6D04-ECD9-B743-8EF5-6AAC00C3272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0" name="Text Box 5">
          <a:extLst>
            <a:ext uri="{FF2B5EF4-FFF2-40B4-BE49-F238E27FC236}">
              <a16:creationId xmlns:a16="http://schemas.microsoft.com/office/drawing/2014/main" id="{5AFD9E35-1237-CE11-120C-8ADFBB04481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1" name="Text Box 5">
          <a:extLst>
            <a:ext uri="{FF2B5EF4-FFF2-40B4-BE49-F238E27FC236}">
              <a16:creationId xmlns:a16="http://schemas.microsoft.com/office/drawing/2014/main" id="{5BBB8241-12D8-8FD9-5E1A-77B119AFFCB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2" name="Text Box 5">
          <a:extLst>
            <a:ext uri="{FF2B5EF4-FFF2-40B4-BE49-F238E27FC236}">
              <a16:creationId xmlns:a16="http://schemas.microsoft.com/office/drawing/2014/main" id="{CC55C296-A526-B8B7-4749-6F17578F991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3" name="Text Box 5">
          <a:extLst>
            <a:ext uri="{FF2B5EF4-FFF2-40B4-BE49-F238E27FC236}">
              <a16:creationId xmlns:a16="http://schemas.microsoft.com/office/drawing/2014/main" id="{A88F19E7-C77F-BFDE-0000-5F76A48829B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4" name="Text Box 5">
          <a:extLst>
            <a:ext uri="{FF2B5EF4-FFF2-40B4-BE49-F238E27FC236}">
              <a16:creationId xmlns:a16="http://schemas.microsoft.com/office/drawing/2014/main" id="{C715EE26-301F-5A1C-70E5-8335A5BCE24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5" name="Text Box 5">
          <a:extLst>
            <a:ext uri="{FF2B5EF4-FFF2-40B4-BE49-F238E27FC236}">
              <a16:creationId xmlns:a16="http://schemas.microsoft.com/office/drawing/2014/main" id="{82A1285A-C2C0-8D71-D193-C80F1AA7805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6" name="Text Box 5">
          <a:extLst>
            <a:ext uri="{FF2B5EF4-FFF2-40B4-BE49-F238E27FC236}">
              <a16:creationId xmlns:a16="http://schemas.microsoft.com/office/drawing/2014/main" id="{B5C71A3E-483C-9C86-D697-F06D479B794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49" name="Text Box 5">
          <a:extLst>
            <a:ext uri="{FF2B5EF4-FFF2-40B4-BE49-F238E27FC236}">
              <a16:creationId xmlns:a16="http://schemas.microsoft.com/office/drawing/2014/main" id="{A2A0402B-4C53-1A00-9242-E2B409C5096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50" name="Text Box 5">
          <a:extLst>
            <a:ext uri="{FF2B5EF4-FFF2-40B4-BE49-F238E27FC236}">
              <a16:creationId xmlns:a16="http://schemas.microsoft.com/office/drawing/2014/main" id="{3BBBC651-E1E0-016F-820E-B458F92B97E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3" name="Text Box 5">
          <a:extLst>
            <a:ext uri="{FF2B5EF4-FFF2-40B4-BE49-F238E27FC236}">
              <a16:creationId xmlns:a16="http://schemas.microsoft.com/office/drawing/2014/main" id="{FC0A7EB3-C042-7A94-04FB-048D9EF44FD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4" name="Text Box 5">
          <a:extLst>
            <a:ext uri="{FF2B5EF4-FFF2-40B4-BE49-F238E27FC236}">
              <a16:creationId xmlns:a16="http://schemas.microsoft.com/office/drawing/2014/main" id="{475BD693-9AB9-F8BF-1209-EFA66CF698EC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3" name="Text Box 5">
          <a:extLst>
            <a:ext uri="{FF2B5EF4-FFF2-40B4-BE49-F238E27FC236}">
              <a16:creationId xmlns:a16="http://schemas.microsoft.com/office/drawing/2014/main" id="{A7A781D1-164F-2B30-9E1C-985E8962264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4" name="Text Box 5">
          <a:extLst>
            <a:ext uri="{FF2B5EF4-FFF2-40B4-BE49-F238E27FC236}">
              <a16:creationId xmlns:a16="http://schemas.microsoft.com/office/drawing/2014/main" id="{4C571400-E8BE-3A15-8755-7B77E70D9E5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7" name="Text Box 5">
          <a:extLst>
            <a:ext uri="{FF2B5EF4-FFF2-40B4-BE49-F238E27FC236}">
              <a16:creationId xmlns:a16="http://schemas.microsoft.com/office/drawing/2014/main" id="{BB48E24E-546F-07C9-8037-FFAD21900FC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8" name="Text Box 5">
          <a:extLst>
            <a:ext uri="{FF2B5EF4-FFF2-40B4-BE49-F238E27FC236}">
              <a16:creationId xmlns:a16="http://schemas.microsoft.com/office/drawing/2014/main" id="{0EC0C3F1-D01D-C03D-D0B5-A2C37CF6CBB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1" name="Text Box 5">
          <a:extLst>
            <a:ext uri="{FF2B5EF4-FFF2-40B4-BE49-F238E27FC236}">
              <a16:creationId xmlns:a16="http://schemas.microsoft.com/office/drawing/2014/main" id="{8FE627E8-6DA9-9C1D-5D4D-07B5FC0E255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2" name="Text Box 5">
          <a:extLst>
            <a:ext uri="{FF2B5EF4-FFF2-40B4-BE49-F238E27FC236}">
              <a16:creationId xmlns:a16="http://schemas.microsoft.com/office/drawing/2014/main" id="{B5F0364D-E9AD-B680-D466-AD324359E59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3" name="Text Box 5">
          <a:extLst>
            <a:ext uri="{FF2B5EF4-FFF2-40B4-BE49-F238E27FC236}">
              <a16:creationId xmlns:a16="http://schemas.microsoft.com/office/drawing/2014/main" id="{7BF981D2-A82A-0582-7323-35B3692B028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4" name="Text Box 5">
          <a:extLst>
            <a:ext uri="{FF2B5EF4-FFF2-40B4-BE49-F238E27FC236}">
              <a16:creationId xmlns:a16="http://schemas.microsoft.com/office/drawing/2014/main" id="{A1F385C0-C983-4A62-FD5B-B9CCF3E00A3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5" name="Text Box 5">
          <a:extLst>
            <a:ext uri="{FF2B5EF4-FFF2-40B4-BE49-F238E27FC236}">
              <a16:creationId xmlns:a16="http://schemas.microsoft.com/office/drawing/2014/main" id="{FC65D90C-43CA-F021-2B4F-76F26A128951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6" name="Text Box 5">
          <a:extLst>
            <a:ext uri="{FF2B5EF4-FFF2-40B4-BE49-F238E27FC236}">
              <a16:creationId xmlns:a16="http://schemas.microsoft.com/office/drawing/2014/main" id="{1FEB34E9-DF79-F3CF-A99D-96CBEDF3435B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7" name="Text Box 5">
          <a:extLst>
            <a:ext uri="{FF2B5EF4-FFF2-40B4-BE49-F238E27FC236}">
              <a16:creationId xmlns:a16="http://schemas.microsoft.com/office/drawing/2014/main" id="{DA935FD8-496E-D3C8-BFC2-91F773A20B32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8" name="Text Box 5">
          <a:extLst>
            <a:ext uri="{FF2B5EF4-FFF2-40B4-BE49-F238E27FC236}">
              <a16:creationId xmlns:a16="http://schemas.microsoft.com/office/drawing/2014/main" id="{32E5441C-AE3A-4A22-6BD4-6A643AF8411B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7" name="Text Box 5">
          <a:extLst>
            <a:ext uri="{FF2B5EF4-FFF2-40B4-BE49-F238E27FC236}">
              <a16:creationId xmlns:a16="http://schemas.microsoft.com/office/drawing/2014/main" id="{293D1236-284C-3F3C-B59E-D1D096BF8ED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8" name="Text Box 5">
          <a:extLst>
            <a:ext uri="{FF2B5EF4-FFF2-40B4-BE49-F238E27FC236}">
              <a16:creationId xmlns:a16="http://schemas.microsoft.com/office/drawing/2014/main" id="{7918B6AF-6E93-49F0-2985-B78D919BBAB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9" name="Text Box 5">
          <a:extLst>
            <a:ext uri="{FF2B5EF4-FFF2-40B4-BE49-F238E27FC236}">
              <a16:creationId xmlns:a16="http://schemas.microsoft.com/office/drawing/2014/main" id="{783679C3-8287-F842-B518-E739ED8AF92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20" name="Text Box 5">
          <a:extLst>
            <a:ext uri="{FF2B5EF4-FFF2-40B4-BE49-F238E27FC236}">
              <a16:creationId xmlns:a16="http://schemas.microsoft.com/office/drawing/2014/main" id="{707C6E27-DEE4-5F47-0CA2-A0CBA33E2BB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0E3C-1846-4C66-ACF1-5AD0EAFD1370}">
  <sheetPr>
    <pageSetUpPr fitToPage="1"/>
  </sheetPr>
  <dimension ref="A1:S168"/>
  <sheetViews>
    <sheetView workbookViewId="0">
      <selection activeCell="B146" sqref="B146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5703125" style="1" customWidth="1"/>
    <col min="4" max="4" width="10.28515625" style="1" customWidth="1"/>
    <col min="5" max="5" width="10.140625" style="1" hidden="1" customWidth="1"/>
    <col min="6" max="6" width="10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6.140625" style="1" customWidth="1"/>
    <col min="12" max="12" width="6.425781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B6" s="1119" t="s">
        <v>4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121" t="s">
        <v>6</v>
      </c>
      <c r="B9" s="1111" t="s">
        <v>7</v>
      </c>
      <c r="C9" s="1111" t="s">
        <v>8</v>
      </c>
      <c r="D9" s="1111" t="s">
        <v>379</v>
      </c>
      <c r="E9" s="1111"/>
      <c r="F9" s="1113" t="s">
        <v>380</v>
      </c>
      <c r="G9" s="1115" t="s">
        <v>12</v>
      </c>
      <c r="H9" s="1115"/>
      <c r="I9" s="1115"/>
      <c r="J9" s="1115"/>
      <c r="K9" s="1116" t="s">
        <v>13</v>
      </c>
      <c r="L9" s="1116"/>
      <c r="M9" s="1117"/>
    </row>
    <row r="10" spans="1:14" s="4" customFormat="1" ht="48" customHeight="1" x14ac:dyDescent="0.2">
      <c r="A10" s="1122"/>
      <c r="B10" s="1112"/>
      <c r="C10" s="1112"/>
      <c r="D10" s="1112"/>
      <c r="E10" s="1112"/>
      <c r="F10" s="1114"/>
      <c r="G10" s="966" t="s">
        <v>14</v>
      </c>
      <c r="H10" s="966" t="s">
        <v>15</v>
      </c>
      <c r="I10" s="966" t="s">
        <v>16</v>
      </c>
      <c r="J10" s="966" t="s">
        <v>17</v>
      </c>
      <c r="K10" s="966">
        <v>2026</v>
      </c>
      <c r="L10" s="823">
        <v>2027</v>
      </c>
      <c r="M10" s="1023">
        <v>2028</v>
      </c>
    </row>
    <row r="11" spans="1:14" s="4" customFormat="1" ht="27" customHeight="1" x14ac:dyDescent="0.2">
      <c r="A11" s="907" t="s">
        <v>18</v>
      </c>
      <c r="B11" s="628" t="s">
        <v>19</v>
      </c>
      <c r="C11" s="824"/>
      <c r="D11" s="825">
        <f>D12</f>
        <v>0</v>
      </c>
      <c r="E11" s="825">
        <f>E12</f>
        <v>0</v>
      </c>
      <c r="F11" s="814">
        <f>F12+F117</f>
        <v>7200.7</v>
      </c>
      <c r="G11" s="814">
        <f>G12+G117</f>
        <v>2181</v>
      </c>
      <c r="H11" s="814">
        <f>H12+H117</f>
        <v>1904.7</v>
      </c>
      <c r="I11" s="814">
        <f>I12+I117</f>
        <v>1616</v>
      </c>
      <c r="J11" s="814">
        <f>J12+J117</f>
        <v>1499</v>
      </c>
      <c r="K11" s="628">
        <f t="shared" ref="K11:M12" si="0">K12</f>
        <v>7194.8035899999995</v>
      </c>
      <c r="L11" s="628">
        <f t="shared" si="0"/>
        <v>7215.1624999999985</v>
      </c>
      <c r="M11" s="737">
        <f t="shared" si="0"/>
        <v>7231.705649999999</v>
      </c>
    </row>
    <row r="12" spans="1:14" s="4" customFormat="1" ht="22.5" customHeight="1" x14ac:dyDescent="0.2">
      <c r="A12" s="908">
        <v>2</v>
      </c>
      <c r="B12" s="630" t="s">
        <v>20</v>
      </c>
      <c r="C12" s="630"/>
      <c r="D12" s="826">
        <f>D13</f>
        <v>0</v>
      </c>
      <c r="E12" s="826">
        <f>E13</f>
        <v>0</v>
      </c>
      <c r="F12" s="827">
        <f>F13</f>
        <v>7200.7</v>
      </c>
      <c r="G12" s="827">
        <f>G13</f>
        <v>2181</v>
      </c>
      <c r="H12" s="827">
        <f>H13</f>
        <v>1904.7</v>
      </c>
      <c r="I12" s="827">
        <f>I13</f>
        <v>1616</v>
      </c>
      <c r="J12" s="827">
        <f>J13</f>
        <v>1499</v>
      </c>
      <c r="K12" s="826">
        <f t="shared" si="0"/>
        <v>7194.8035899999995</v>
      </c>
      <c r="L12" s="826">
        <f t="shared" si="0"/>
        <v>7215.1624999999985</v>
      </c>
      <c r="M12" s="1024">
        <f t="shared" si="0"/>
        <v>7231.705649999999</v>
      </c>
    </row>
    <row r="13" spans="1:14" s="4" customFormat="1" x14ac:dyDescent="0.2">
      <c r="A13" s="907">
        <v>3</v>
      </c>
      <c r="B13" s="632" t="s">
        <v>21</v>
      </c>
      <c r="C13" s="658" t="s">
        <v>22</v>
      </c>
      <c r="D13" s="772">
        <f>D14+D34</f>
        <v>0</v>
      </c>
      <c r="E13" s="772">
        <f>E14+E34</f>
        <v>0</v>
      </c>
      <c r="F13" s="814">
        <f>F14+F34+F91+F111</f>
        <v>7200.7</v>
      </c>
      <c r="G13" s="814">
        <f>G14+G34+G91+G111</f>
        <v>2181</v>
      </c>
      <c r="H13" s="814">
        <f>H14+H34+H91+H111</f>
        <v>1904.7</v>
      </c>
      <c r="I13" s="814">
        <f>I14+I34+I91+I111</f>
        <v>1616</v>
      </c>
      <c r="J13" s="814">
        <f>J14+J34+J91+J111</f>
        <v>1499</v>
      </c>
      <c r="K13" s="628">
        <f>K14+K34</f>
        <v>7194.8035899999995</v>
      </c>
      <c r="L13" s="628">
        <f>L14+L34</f>
        <v>7215.1624999999985</v>
      </c>
      <c r="M13" s="737">
        <f>M14+M34</f>
        <v>7231.705649999999</v>
      </c>
    </row>
    <row r="14" spans="1:14" s="4" customFormat="1" x14ac:dyDescent="0.2">
      <c r="A14" s="738">
        <v>4</v>
      </c>
      <c r="B14" s="649" t="s">
        <v>23</v>
      </c>
      <c r="C14" s="828" t="s">
        <v>24</v>
      </c>
      <c r="D14" s="772">
        <f>D15+D26+D23</f>
        <v>0</v>
      </c>
      <c r="E14" s="772">
        <f>E15+E26+E23</f>
        <v>0</v>
      </c>
      <c r="F14" s="813">
        <f>F15+F26+F23</f>
        <v>4862</v>
      </c>
      <c r="G14" s="814">
        <f>G15+G23+G26</f>
        <v>1199</v>
      </c>
      <c r="H14" s="814">
        <f>H15+H23+H26</f>
        <v>1253</v>
      </c>
      <c r="I14" s="814">
        <f>I15+I23+I26</f>
        <v>1206</v>
      </c>
      <c r="J14" s="814">
        <f>J15+J23+J26</f>
        <v>1204</v>
      </c>
      <c r="K14" s="628">
        <f>F14*101.24%</f>
        <v>4922.2888000000003</v>
      </c>
      <c r="L14" s="628">
        <f>F14*101.5%</f>
        <v>4934.9299999999994</v>
      </c>
      <c r="M14" s="737">
        <f>F14*101.72%</f>
        <v>4945.6263999999992</v>
      </c>
    </row>
    <row r="15" spans="1:14" s="4" customFormat="1" x14ac:dyDescent="0.2">
      <c r="A15" s="907">
        <v>5</v>
      </c>
      <c r="B15" s="637" t="s">
        <v>25</v>
      </c>
      <c r="C15" s="828" t="s">
        <v>26</v>
      </c>
      <c r="D15" s="772">
        <f>D16+D17+D18+D21+D22</f>
        <v>0</v>
      </c>
      <c r="E15" s="772">
        <f>E16+E17+E18+E21+E22</f>
        <v>0</v>
      </c>
      <c r="F15" s="814">
        <f>F16+F17+F18+F19+F20+F21+F22</f>
        <v>4710</v>
      </c>
      <c r="G15" s="814">
        <f>G16+G17+G18+G19+G20+G21+G22</f>
        <v>1174</v>
      </c>
      <c r="H15" s="814">
        <f>H16+H17+H18+H19+H20+H21+H22</f>
        <v>1180</v>
      </c>
      <c r="I15" s="814">
        <f>I16+I17+I18+I19+I20+I21+I22</f>
        <v>1178</v>
      </c>
      <c r="J15" s="814">
        <f>J16+J17+J18+J19+J20+J21+J22</f>
        <v>1178</v>
      </c>
      <c r="K15" s="628"/>
      <c r="L15" s="628"/>
      <c r="M15" s="737"/>
    </row>
    <row r="16" spans="1:14" s="4" customFormat="1" x14ac:dyDescent="0.2">
      <c r="A16" s="738">
        <v>6</v>
      </c>
      <c r="B16" s="638" t="s">
        <v>27</v>
      </c>
      <c r="C16" s="646" t="s">
        <v>28</v>
      </c>
      <c r="D16" s="829">
        <v>0</v>
      </c>
      <c r="E16" s="829">
        <v>0</v>
      </c>
      <c r="F16" s="814">
        <f t="shared" ref="F16:F22" si="1">G16+H16+I16+J16</f>
        <v>3811</v>
      </c>
      <c r="G16" s="800">
        <v>952</v>
      </c>
      <c r="H16" s="800">
        <v>953</v>
      </c>
      <c r="I16" s="800">
        <v>953</v>
      </c>
      <c r="J16" s="800">
        <v>953</v>
      </c>
      <c r="K16" s="634"/>
      <c r="L16" s="634"/>
      <c r="M16" s="910"/>
    </row>
    <row r="17" spans="1:17" s="4" customFormat="1" x14ac:dyDescent="0.2">
      <c r="A17" s="907">
        <v>7</v>
      </c>
      <c r="B17" s="638" t="s">
        <v>29</v>
      </c>
      <c r="C17" s="646" t="s">
        <v>30</v>
      </c>
      <c r="D17" s="829">
        <v>0</v>
      </c>
      <c r="E17" s="829">
        <v>0</v>
      </c>
      <c r="F17" s="814">
        <f t="shared" si="1"/>
        <v>632</v>
      </c>
      <c r="G17" s="800">
        <v>157</v>
      </c>
      <c r="H17" s="800">
        <v>159</v>
      </c>
      <c r="I17" s="800">
        <v>158</v>
      </c>
      <c r="J17" s="800">
        <v>158</v>
      </c>
      <c r="K17" s="634"/>
      <c r="L17" s="634"/>
      <c r="M17" s="910"/>
      <c r="P17" s="48"/>
    </row>
    <row r="18" spans="1:17" s="4" customFormat="1" hidden="1" x14ac:dyDescent="0.2">
      <c r="A18" s="738">
        <v>8</v>
      </c>
      <c r="B18" s="638" t="s">
        <v>31</v>
      </c>
      <c r="C18" s="646" t="s">
        <v>32</v>
      </c>
      <c r="D18" s="829">
        <v>0</v>
      </c>
      <c r="E18" s="829">
        <v>0</v>
      </c>
      <c r="F18" s="814">
        <f t="shared" si="1"/>
        <v>0</v>
      </c>
      <c r="G18" s="800">
        <v>0</v>
      </c>
      <c r="H18" s="800">
        <v>0</v>
      </c>
      <c r="I18" s="800">
        <v>0</v>
      </c>
      <c r="J18" s="800">
        <v>0</v>
      </c>
      <c r="K18" s="634"/>
      <c r="L18" s="634"/>
      <c r="M18" s="910"/>
      <c r="P18" s="48"/>
    </row>
    <row r="19" spans="1:17" s="4" customFormat="1" hidden="1" x14ac:dyDescent="0.2">
      <c r="A19" s="907">
        <v>9</v>
      </c>
      <c r="B19" s="640" t="s">
        <v>33</v>
      </c>
      <c r="C19" s="641" t="s">
        <v>34</v>
      </c>
      <c r="D19" s="722"/>
      <c r="E19" s="722"/>
      <c r="F19" s="814">
        <f t="shared" si="1"/>
        <v>0</v>
      </c>
      <c r="G19" s="800"/>
      <c r="H19" s="800"/>
      <c r="I19" s="800"/>
      <c r="J19" s="800"/>
      <c r="K19" s="634"/>
      <c r="L19" s="634"/>
      <c r="M19" s="910"/>
      <c r="P19" s="48"/>
    </row>
    <row r="20" spans="1:17" s="4" customFormat="1" hidden="1" x14ac:dyDescent="0.2">
      <c r="A20" s="738">
        <v>10</v>
      </c>
      <c r="B20" s="638" t="s">
        <v>333</v>
      </c>
      <c r="C20" s="646" t="s">
        <v>334</v>
      </c>
      <c r="D20" s="829"/>
      <c r="E20" s="829"/>
      <c r="F20" s="814">
        <f t="shared" si="1"/>
        <v>0</v>
      </c>
      <c r="G20" s="800"/>
      <c r="H20" s="800"/>
      <c r="I20" s="800"/>
      <c r="J20" s="800"/>
      <c r="K20" s="634"/>
      <c r="L20" s="634"/>
      <c r="M20" s="910"/>
      <c r="P20" s="48"/>
    </row>
    <row r="21" spans="1:17" s="4" customFormat="1" x14ac:dyDescent="0.2">
      <c r="A21" s="907">
        <v>11</v>
      </c>
      <c r="B21" s="638" t="s">
        <v>37</v>
      </c>
      <c r="C21" s="646" t="s">
        <v>38</v>
      </c>
      <c r="D21" s="829">
        <v>0</v>
      </c>
      <c r="E21" s="829">
        <v>0</v>
      </c>
      <c r="F21" s="814">
        <f t="shared" si="1"/>
        <v>214</v>
      </c>
      <c r="G21" s="800">
        <v>52</v>
      </c>
      <c r="H21" s="800">
        <v>54</v>
      </c>
      <c r="I21" s="800">
        <v>54</v>
      </c>
      <c r="J21" s="800">
        <v>54</v>
      </c>
      <c r="K21" s="634"/>
      <c r="L21" s="634"/>
      <c r="M21" s="910"/>
      <c r="P21" s="48"/>
      <c r="Q21" s="51"/>
    </row>
    <row r="22" spans="1:17" s="4" customFormat="1" x14ac:dyDescent="0.2">
      <c r="A22" s="738">
        <v>12</v>
      </c>
      <c r="B22" s="638" t="s">
        <v>39</v>
      </c>
      <c r="C22" s="646" t="s">
        <v>40</v>
      </c>
      <c r="D22" s="829">
        <v>0</v>
      </c>
      <c r="E22" s="829">
        <v>0</v>
      </c>
      <c r="F22" s="814">
        <f t="shared" si="1"/>
        <v>53</v>
      </c>
      <c r="G22" s="800">
        <v>13</v>
      </c>
      <c r="H22" s="800">
        <v>14</v>
      </c>
      <c r="I22" s="800">
        <v>13</v>
      </c>
      <c r="J22" s="800">
        <v>13</v>
      </c>
      <c r="K22" s="634"/>
      <c r="L22" s="634"/>
      <c r="M22" s="910"/>
      <c r="P22" s="48"/>
      <c r="Q22" s="51"/>
    </row>
    <row r="23" spans="1:17" s="4" customFormat="1" x14ac:dyDescent="0.2">
      <c r="A23" s="907">
        <v>13</v>
      </c>
      <c r="B23" s="638" t="s">
        <v>41</v>
      </c>
      <c r="C23" s="650" t="s">
        <v>42</v>
      </c>
      <c r="D23" s="772">
        <f t="shared" ref="D23:J23" si="2">D24</f>
        <v>0</v>
      </c>
      <c r="E23" s="772">
        <f t="shared" si="2"/>
        <v>0</v>
      </c>
      <c r="F23" s="814">
        <f t="shared" si="2"/>
        <v>45</v>
      </c>
      <c r="G23" s="814">
        <f t="shared" si="2"/>
        <v>0</v>
      </c>
      <c r="H23" s="814">
        <f t="shared" si="2"/>
        <v>45</v>
      </c>
      <c r="I23" s="814">
        <f t="shared" si="2"/>
        <v>0</v>
      </c>
      <c r="J23" s="814">
        <f t="shared" si="2"/>
        <v>0</v>
      </c>
      <c r="K23" s="634"/>
      <c r="L23" s="634"/>
      <c r="M23" s="910"/>
      <c r="P23" s="48"/>
    </row>
    <row r="24" spans="1:17" s="4" customFormat="1" x14ac:dyDescent="0.2">
      <c r="A24" s="738">
        <v>14</v>
      </c>
      <c r="B24" s="638" t="s">
        <v>43</v>
      </c>
      <c r="C24" s="639" t="s">
        <v>44</v>
      </c>
      <c r="D24" s="829">
        <v>0</v>
      </c>
      <c r="E24" s="829">
        <v>0</v>
      </c>
      <c r="F24" s="814">
        <f>G24+H24+I24+J24</f>
        <v>45</v>
      </c>
      <c r="G24" s="800">
        <v>0</v>
      </c>
      <c r="H24" s="800">
        <v>45</v>
      </c>
      <c r="I24" s="800">
        <v>0</v>
      </c>
      <c r="J24" s="800">
        <v>0</v>
      </c>
      <c r="K24" s="634"/>
      <c r="L24" s="634"/>
      <c r="M24" s="910"/>
      <c r="P24" s="48"/>
    </row>
    <row r="25" spans="1:17" s="4" customFormat="1" hidden="1" x14ac:dyDescent="0.2">
      <c r="A25" s="907">
        <v>15</v>
      </c>
      <c r="B25" s="638" t="s">
        <v>230</v>
      </c>
      <c r="C25" s="639" t="s">
        <v>231</v>
      </c>
      <c r="D25" s="829">
        <v>0</v>
      </c>
      <c r="E25" s="829">
        <v>0</v>
      </c>
      <c r="F25" s="814">
        <f>G25+H25+I25+J25</f>
        <v>0</v>
      </c>
      <c r="G25" s="800">
        <v>0</v>
      </c>
      <c r="H25" s="800">
        <v>0</v>
      </c>
      <c r="I25" s="800">
        <v>0</v>
      </c>
      <c r="J25" s="800">
        <v>0</v>
      </c>
      <c r="K25" s="634"/>
      <c r="L25" s="634"/>
      <c r="M25" s="910"/>
      <c r="P25" s="48"/>
    </row>
    <row r="26" spans="1:17" s="4" customFormat="1" x14ac:dyDescent="0.2">
      <c r="A26" s="738">
        <v>16</v>
      </c>
      <c r="B26" s="637" t="s">
        <v>45</v>
      </c>
      <c r="C26" s="653" t="s">
        <v>46</v>
      </c>
      <c r="D26" s="772">
        <f>D32</f>
        <v>0</v>
      </c>
      <c r="E26" s="772">
        <f>E32</f>
        <v>0</v>
      </c>
      <c r="F26" s="814">
        <f>F27+F28+F29+F30+F31+F32+F33</f>
        <v>107</v>
      </c>
      <c r="G26" s="814">
        <f>G27+G28+G29+G30+G32</f>
        <v>25</v>
      </c>
      <c r="H26" s="814">
        <f>H27+H28+H29+H30+H32</f>
        <v>28</v>
      </c>
      <c r="I26" s="814">
        <f>I27+I28+I29+I30+I32</f>
        <v>28</v>
      </c>
      <c r="J26" s="814">
        <f>J27+J28+J29+J30+J32</f>
        <v>26</v>
      </c>
      <c r="K26" s="628"/>
      <c r="L26" s="628"/>
      <c r="M26" s="737"/>
    </row>
    <row r="27" spans="1:17" s="4" customFormat="1" hidden="1" x14ac:dyDescent="0.2">
      <c r="A27" s="907">
        <v>17</v>
      </c>
      <c r="B27" s="645" t="s">
        <v>47</v>
      </c>
      <c r="C27" s="646" t="s">
        <v>48</v>
      </c>
      <c r="D27" s="829"/>
      <c r="E27" s="829"/>
      <c r="F27" s="800">
        <f t="shared" ref="F27:F32" si="3">G27+H27+I27+J27</f>
        <v>0</v>
      </c>
      <c r="G27" s="800">
        <v>0</v>
      </c>
      <c r="H27" s="800">
        <v>0</v>
      </c>
      <c r="I27" s="800">
        <v>0</v>
      </c>
      <c r="J27" s="800">
        <v>0</v>
      </c>
      <c r="K27" s="634"/>
      <c r="L27" s="634"/>
      <c r="M27" s="910"/>
    </row>
    <row r="28" spans="1:17" s="4" customFormat="1" hidden="1" x14ac:dyDescent="0.2">
      <c r="A28" s="738">
        <v>18</v>
      </c>
      <c r="B28" s="645" t="s">
        <v>49</v>
      </c>
      <c r="C28" s="646" t="s">
        <v>50</v>
      </c>
      <c r="D28" s="829"/>
      <c r="E28" s="829"/>
      <c r="F28" s="800">
        <f t="shared" si="3"/>
        <v>0</v>
      </c>
      <c r="G28" s="800">
        <v>0</v>
      </c>
      <c r="H28" s="800">
        <v>0</v>
      </c>
      <c r="I28" s="800">
        <v>0</v>
      </c>
      <c r="J28" s="800">
        <v>0</v>
      </c>
      <c r="K28" s="634"/>
      <c r="L28" s="634"/>
      <c r="M28" s="910"/>
    </row>
    <row r="29" spans="1:17" s="4" customFormat="1" hidden="1" x14ac:dyDescent="0.2">
      <c r="A29" s="907">
        <v>19</v>
      </c>
      <c r="B29" s="645" t="s">
        <v>51</v>
      </c>
      <c r="C29" s="646" t="s">
        <v>52</v>
      </c>
      <c r="D29" s="829"/>
      <c r="E29" s="829"/>
      <c r="F29" s="800">
        <f t="shared" si="3"/>
        <v>0</v>
      </c>
      <c r="G29" s="800">
        <v>0</v>
      </c>
      <c r="H29" s="800">
        <v>0</v>
      </c>
      <c r="I29" s="800">
        <v>0</v>
      </c>
      <c r="J29" s="800">
        <v>0</v>
      </c>
      <c r="K29" s="634"/>
      <c r="L29" s="634"/>
      <c r="M29" s="910"/>
    </row>
    <row r="30" spans="1:17" s="4" customFormat="1" ht="25.5" hidden="1" x14ac:dyDescent="0.2">
      <c r="A30" s="738">
        <v>20</v>
      </c>
      <c r="B30" s="830" t="s">
        <v>53</v>
      </c>
      <c r="C30" s="831" t="s">
        <v>54</v>
      </c>
      <c r="D30" s="829"/>
      <c r="E30" s="829"/>
      <c r="F30" s="800">
        <f t="shared" si="3"/>
        <v>0</v>
      </c>
      <c r="G30" s="800">
        <v>0</v>
      </c>
      <c r="H30" s="800">
        <v>0</v>
      </c>
      <c r="I30" s="800">
        <v>0</v>
      </c>
      <c r="J30" s="800">
        <v>0</v>
      </c>
      <c r="K30" s="634"/>
      <c r="L30" s="634"/>
      <c r="M30" s="910"/>
    </row>
    <row r="31" spans="1:17" s="4" customFormat="1" hidden="1" x14ac:dyDescent="0.2">
      <c r="A31" s="907">
        <v>21</v>
      </c>
      <c r="B31" s="645" t="s">
        <v>55</v>
      </c>
      <c r="C31" s="646" t="s">
        <v>56</v>
      </c>
      <c r="D31" s="829"/>
      <c r="E31" s="829"/>
      <c r="F31" s="800">
        <f t="shared" si="3"/>
        <v>0</v>
      </c>
      <c r="G31" s="800">
        <v>0</v>
      </c>
      <c r="H31" s="800">
        <v>0</v>
      </c>
      <c r="I31" s="800">
        <v>0</v>
      </c>
      <c r="J31" s="800">
        <v>0</v>
      </c>
      <c r="K31" s="634"/>
      <c r="L31" s="634"/>
      <c r="M31" s="910"/>
    </row>
    <row r="32" spans="1:17" s="4" customFormat="1" x14ac:dyDescent="0.2">
      <c r="A32" s="738">
        <v>22</v>
      </c>
      <c r="B32" s="645" t="s">
        <v>57</v>
      </c>
      <c r="C32" s="646" t="s">
        <v>58</v>
      </c>
      <c r="D32" s="829">
        <v>0</v>
      </c>
      <c r="E32" s="829">
        <v>0</v>
      </c>
      <c r="F32" s="800">
        <f t="shared" si="3"/>
        <v>107</v>
      </c>
      <c r="G32" s="800">
        <v>25</v>
      </c>
      <c r="H32" s="800">
        <v>28</v>
      </c>
      <c r="I32" s="800">
        <v>28</v>
      </c>
      <c r="J32" s="800">
        <v>26</v>
      </c>
      <c r="K32" s="634"/>
      <c r="L32" s="634"/>
      <c r="M32" s="910"/>
    </row>
    <row r="33" spans="1:19" s="4" customFormat="1" hidden="1" x14ac:dyDescent="0.2">
      <c r="A33" s="907">
        <v>23</v>
      </c>
      <c r="B33" s="645" t="s">
        <v>59</v>
      </c>
      <c r="C33" s="646" t="s">
        <v>60</v>
      </c>
      <c r="D33" s="829"/>
      <c r="E33" s="829"/>
      <c r="F33" s="800"/>
      <c r="G33" s="800"/>
      <c r="H33" s="800"/>
      <c r="I33" s="800"/>
      <c r="J33" s="800"/>
      <c r="K33" s="634"/>
      <c r="L33" s="634"/>
      <c r="M33" s="910"/>
    </row>
    <row r="34" spans="1:19" s="4" customFormat="1" ht="25.5" x14ac:dyDescent="0.2">
      <c r="A34" s="738">
        <v>24</v>
      </c>
      <c r="B34" s="647" t="s">
        <v>61</v>
      </c>
      <c r="C34" s="647">
        <v>20</v>
      </c>
      <c r="D34" s="832">
        <f>D35+D58+D59+D64+D69+D76</f>
        <v>0</v>
      </c>
      <c r="E34" s="832">
        <f>E35+E58+E59+E64+E69+E76</f>
        <v>0</v>
      </c>
      <c r="F34" s="814">
        <f>F35+F57+F58+F59+F64+F69+F72+F73+F74+F75+F78</f>
        <v>2338.6999999999998</v>
      </c>
      <c r="G34" s="814">
        <f>G35+G57+G58+G59+G64+G69+G72+G73+G74+G75+G78</f>
        <v>982</v>
      </c>
      <c r="H34" s="814">
        <f>H35+H57+H58+H59+H64+H69+H72+H73+H74+H75+H78</f>
        <v>651.70000000000005</v>
      </c>
      <c r="I34" s="814">
        <f>I35+I57+I58+I59+I64+I69+I72+I73+I74+I75+I78</f>
        <v>410</v>
      </c>
      <c r="J34" s="814">
        <f>J35+J57+J58+J59+J64+J69+J72+J73+J74+J75+J78</f>
        <v>295</v>
      </c>
      <c r="K34" s="628">
        <f>F34*97.17%</f>
        <v>2272.5147899999997</v>
      </c>
      <c r="L34" s="628">
        <f>F34*97.5%</f>
        <v>2280.2324999999996</v>
      </c>
      <c r="M34" s="737">
        <f>F34*97.75%</f>
        <v>2286.0792499999998</v>
      </c>
    </row>
    <row r="35" spans="1:19" s="4" customFormat="1" x14ac:dyDescent="0.2">
      <c r="A35" s="907">
        <v>25</v>
      </c>
      <c r="B35" s="649" t="s">
        <v>62</v>
      </c>
      <c r="C35" s="653" t="s">
        <v>63</v>
      </c>
      <c r="D35" s="772">
        <f>D36+D40+D43+D44+D47+D50+D53</f>
        <v>0</v>
      </c>
      <c r="E35" s="772">
        <f>E36+E40+E43+E44+E47+E50+E53</f>
        <v>0</v>
      </c>
      <c r="F35" s="814">
        <f>F36+F40+F43+F44+F45+F46+F47+F50+F53</f>
        <v>1027</v>
      </c>
      <c r="G35" s="814">
        <f>G36+G40+G43+G44+G45+G46+G47+G50+G53</f>
        <v>596</v>
      </c>
      <c r="H35" s="814">
        <f>H36+H40+H43+H44+H45+H46+H47+H50+H53</f>
        <v>282</v>
      </c>
      <c r="I35" s="814">
        <f>I36+I40+I43+I44+I45+I46+I47+I50+I53</f>
        <v>110</v>
      </c>
      <c r="J35" s="814">
        <f>J36+J40+J43+J44+J45+J46+J47+J50+J53</f>
        <v>39</v>
      </c>
      <c r="K35" s="628"/>
      <c r="L35" s="628"/>
      <c r="M35" s="737"/>
      <c r="S35" s="51"/>
    </row>
    <row r="36" spans="1:19" s="4" customFormat="1" x14ac:dyDescent="0.2">
      <c r="A36" s="738">
        <v>26</v>
      </c>
      <c r="B36" s="637" t="s">
        <v>64</v>
      </c>
      <c r="C36" s="653" t="s">
        <v>65</v>
      </c>
      <c r="D36" s="772">
        <f>D37</f>
        <v>0</v>
      </c>
      <c r="E36" s="772">
        <f>E37</f>
        <v>0</v>
      </c>
      <c r="F36" s="814">
        <f>F37+F38+F39</f>
        <v>4</v>
      </c>
      <c r="G36" s="814">
        <f>G37+G38+G39</f>
        <v>0</v>
      </c>
      <c r="H36" s="814">
        <f>H37+H38+H39</f>
        <v>4</v>
      </c>
      <c r="I36" s="814">
        <f>I37+I38+I39</f>
        <v>0</v>
      </c>
      <c r="J36" s="814">
        <f>J37+J38+J39</f>
        <v>0</v>
      </c>
      <c r="K36" s="634"/>
      <c r="L36" s="634"/>
      <c r="M36" s="910"/>
    </row>
    <row r="37" spans="1:19" s="4" customFormat="1" x14ac:dyDescent="0.2">
      <c r="A37" s="907">
        <v>27</v>
      </c>
      <c r="B37" s="645" t="s">
        <v>64</v>
      </c>
      <c r="C37" s="646"/>
      <c r="D37" s="829">
        <v>0</v>
      </c>
      <c r="E37" s="829">
        <v>0</v>
      </c>
      <c r="F37" s="800">
        <f>G37+H37+I35:I37+J37</f>
        <v>4</v>
      </c>
      <c r="G37" s="800">
        <v>0</v>
      </c>
      <c r="H37" s="800">
        <f>6-2</f>
        <v>4</v>
      </c>
      <c r="I37" s="800">
        <v>0</v>
      </c>
      <c r="J37" s="800">
        <v>0</v>
      </c>
      <c r="K37" s="634"/>
      <c r="L37" s="634"/>
      <c r="M37" s="910"/>
    </row>
    <row r="38" spans="1:19" s="4" customFormat="1" hidden="1" x14ac:dyDescent="0.2">
      <c r="A38" s="738">
        <v>28</v>
      </c>
      <c r="B38" s="645" t="s">
        <v>66</v>
      </c>
      <c r="C38" s="646"/>
      <c r="D38" s="829"/>
      <c r="E38" s="829"/>
      <c r="F38" s="800"/>
      <c r="G38" s="800"/>
      <c r="H38" s="800"/>
      <c r="I38" s="800"/>
      <c r="J38" s="800"/>
      <c r="K38" s="634"/>
      <c r="L38" s="634"/>
      <c r="M38" s="910"/>
    </row>
    <row r="39" spans="1:19" s="4" customFormat="1" hidden="1" x14ac:dyDescent="0.2">
      <c r="A39" s="907">
        <v>29</v>
      </c>
      <c r="B39" s="645" t="s">
        <v>67</v>
      </c>
      <c r="C39" s="646"/>
      <c r="D39" s="829"/>
      <c r="E39" s="829"/>
      <c r="F39" s="800"/>
      <c r="G39" s="800"/>
      <c r="H39" s="800"/>
      <c r="I39" s="800"/>
      <c r="J39" s="800"/>
      <c r="K39" s="634"/>
      <c r="L39" s="634"/>
      <c r="M39" s="910"/>
    </row>
    <row r="40" spans="1:19" s="4" customFormat="1" x14ac:dyDescent="0.2">
      <c r="A40" s="738">
        <v>30</v>
      </c>
      <c r="B40" s="637" t="s">
        <v>68</v>
      </c>
      <c r="C40" s="653" t="s">
        <v>69</v>
      </c>
      <c r="D40" s="772">
        <f>D41</f>
        <v>0</v>
      </c>
      <c r="E40" s="772">
        <f>E41</f>
        <v>0</v>
      </c>
      <c r="F40" s="814">
        <f>F41+F42</f>
        <v>38</v>
      </c>
      <c r="G40" s="814">
        <f>G41+G42</f>
        <v>0</v>
      </c>
      <c r="H40" s="814">
        <f>H41+H42</f>
        <v>38</v>
      </c>
      <c r="I40" s="814">
        <f>I41+I42</f>
        <v>0</v>
      </c>
      <c r="J40" s="814">
        <f>J41+J42</f>
        <v>0</v>
      </c>
      <c r="K40" s="634"/>
      <c r="L40" s="634"/>
      <c r="M40" s="910"/>
    </row>
    <row r="41" spans="1:19" s="4" customFormat="1" x14ac:dyDescent="0.2">
      <c r="A41" s="907">
        <v>31</v>
      </c>
      <c r="B41" s="645" t="s">
        <v>70</v>
      </c>
      <c r="C41" s="653"/>
      <c r="D41" s="829">
        <v>0</v>
      </c>
      <c r="E41" s="829">
        <v>0</v>
      </c>
      <c r="F41" s="800">
        <f>G41+H41+I41+J41</f>
        <v>38</v>
      </c>
      <c r="G41" s="800">
        <v>0</v>
      </c>
      <c r="H41" s="800">
        <f>30+8</f>
        <v>38</v>
      </c>
      <c r="I41" s="800">
        <v>0</v>
      </c>
      <c r="J41" s="800">
        <v>0</v>
      </c>
      <c r="K41" s="634"/>
      <c r="L41" s="634"/>
      <c r="M41" s="910"/>
    </row>
    <row r="42" spans="1:19" s="4" customFormat="1" hidden="1" x14ac:dyDescent="0.2">
      <c r="A42" s="738">
        <v>32</v>
      </c>
      <c r="B42" s="645" t="s">
        <v>71</v>
      </c>
      <c r="C42" s="653"/>
      <c r="D42" s="772"/>
      <c r="E42" s="772"/>
      <c r="F42" s="800"/>
      <c r="G42" s="800"/>
      <c r="H42" s="800"/>
      <c r="I42" s="800"/>
      <c r="J42" s="800"/>
      <c r="K42" s="634"/>
      <c r="L42" s="634"/>
      <c r="M42" s="910"/>
    </row>
    <row r="43" spans="1:19" s="4" customFormat="1" x14ac:dyDescent="0.2">
      <c r="A43" s="907">
        <v>33</v>
      </c>
      <c r="B43" s="834" t="s">
        <v>72</v>
      </c>
      <c r="C43" s="835" t="s">
        <v>73</v>
      </c>
      <c r="D43" s="836">
        <v>0</v>
      </c>
      <c r="E43" s="836">
        <v>0</v>
      </c>
      <c r="F43" s="837">
        <f>G43+H43+I43+J43</f>
        <v>400</v>
      </c>
      <c r="G43" s="837">
        <f>238+50</f>
        <v>288</v>
      </c>
      <c r="H43" s="837">
        <f>100-50</f>
        <v>50</v>
      </c>
      <c r="I43" s="837">
        <f>100-38</f>
        <v>62</v>
      </c>
      <c r="J43" s="837">
        <f>200-200</f>
        <v>0</v>
      </c>
      <c r="K43" s="634"/>
      <c r="L43" s="634"/>
      <c r="M43" s="910"/>
    </row>
    <row r="44" spans="1:19" s="4" customFormat="1" x14ac:dyDescent="0.2">
      <c r="A44" s="738">
        <v>34</v>
      </c>
      <c r="B44" s="645" t="s">
        <v>74</v>
      </c>
      <c r="C44" s="646" t="s">
        <v>75</v>
      </c>
      <c r="D44" s="829">
        <v>0</v>
      </c>
      <c r="E44" s="829">
        <v>0</v>
      </c>
      <c r="F44" s="814">
        <f>G44+H44+I44+J44</f>
        <v>240</v>
      </c>
      <c r="G44" s="814">
        <v>100</v>
      </c>
      <c r="H44" s="814">
        <v>65</v>
      </c>
      <c r="I44" s="814">
        <v>40</v>
      </c>
      <c r="J44" s="814">
        <v>35</v>
      </c>
      <c r="K44" s="634"/>
      <c r="L44" s="634"/>
      <c r="M44" s="910"/>
    </row>
    <row r="45" spans="1:19" s="4" customFormat="1" hidden="1" x14ac:dyDescent="0.2">
      <c r="A45" s="907">
        <v>35</v>
      </c>
      <c r="B45" s="645" t="s">
        <v>76</v>
      </c>
      <c r="C45" s="646" t="s">
        <v>77</v>
      </c>
      <c r="D45" s="829"/>
      <c r="E45" s="829">
        <v>0</v>
      </c>
      <c r="F45" s="800">
        <f>G45+H45+I45+J45</f>
        <v>0</v>
      </c>
      <c r="G45" s="800">
        <v>0</v>
      </c>
      <c r="H45" s="800">
        <v>0</v>
      </c>
      <c r="I45" s="800">
        <v>0</v>
      </c>
      <c r="J45" s="800">
        <v>0</v>
      </c>
      <c r="K45" s="634"/>
      <c r="L45" s="634"/>
      <c r="M45" s="910"/>
    </row>
    <row r="46" spans="1:19" s="4" customFormat="1" hidden="1" x14ac:dyDescent="0.2">
      <c r="A46" s="738">
        <v>36</v>
      </c>
      <c r="B46" s="645" t="s">
        <v>78</v>
      </c>
      <c r="C46" s="646" t="s">
        <v>79</v>
      </c>
      <c r="D46" s="829"/>
      <c r="E46" s="829">
        <v>0</v>
      </c>
      <c r="F46" s="800">
        <f>G46+H46+I46+J46</f>
        <v>0</v>
      </c>
      <c r="G46" s="800"/>
      <c r="H46" s="800"/>
      <c r="I46" s="800"/>
      <c r="J46" s="800"/>
      <c r="K46" s="634"/>
      <c r="L46" s="634"/>
      <c r="M46" s="910"/>
    </row>
    <row r="47" spans="1:19" s="4" customFormat="1" x14ac:dyDescent="0.2">
      <c r="A47" s="907">
        <v>37</v>
      </c>
      <c r="B47" s="645" t="s">
        <v>80</v>
      </c>
      <c r="C47" s="646" t="s">
        <v>81</v>
      </c>
      <c r="D47" s="829">
        <f>D48</f>
        <v>0</v>
      </c>
      <c r="E47" s="829">
        <f>E48</f>
        <v>0</v>
      </c>
      <c r="F47" s="814">
        <f>F48+F49</f>
        <v>13</v>
      </c>
      <c r="G47" s="814">
        <f>G48+G49</f>
        <v>4</v>
      </c>
      <c r="H47" s="814">
        <f>H48+H49</f>
        <v>4</v>
      </c>
      <c r="I47" s="814">
        <f>I48+I49</f>
        <v>3</v>
      </c>
      <c r="J47" s="814">
        <f>J48+J49</f>
        <v>2</v>
      </c>
      <c r="K47" s="634"/>
      <c r="L47" s="634"/>
      <c r="M47" s="910"/>
    </row>
    <row r="48" spans="1:19" s="4" customFormat="1" x14ac:dyDescent="0.2">
      <c r="A48" s="738">
        <v>38</v>
      </c>
      <c r="B48" s="645" t="s">
        <v>80</v>
      </c>
      <c r="C48" s="646"/>
      <c r="D48" s="829">
        <v>0</v>
      </c>
      <c r="E48" s="829">
        <v>0</v>
      </c>
      <c r="F48" s="800">
        <f>G48+H48+I48+J48</f>
        <v>13</v>
      </c>
      <c r="G48" s="800">
        <v>4</v>
      </c>
      <c r="H48" s="800">
        <v>4</v>
      </c>
      <c r="I48" s="800">
        <v>3</v>
      </c>
      <c r="J48" s="800">
        <v>2</v>
      </c>
      <c r="K48" s="634"/>
      <c r="L48" s="634"/>
      <c r="M48" s="910"/>
    </row>
    <row r="49" spans="1:13" s="4" customFormat="1" hidden="1" x14ac:dyDescent="0.2">
      <c r="A49" s="907">
        <v>39</v>
      </c>
      <c r="B49" s="645" t="s">
        <v>82</v>
      </c>
      <c r="C49" s="646"/>
      <c r="D49" s="829">
        <v>0</v>
      </c>
      <c r="E49" s="829"/>
      <c r="F49" s="800"/>
      <c r="G49" s="800"/>
      <c r="H49" s="800"/>
      <c r="I49" s="800"/>
      <c r="J49" s="800"/>
      <c r="K49" s="634"/>
      <c r="L49" s="634"/>
      <c r="M49" s="910"/>
    </row>
    <row r="50" spans="1:13" s="4" customFormat="1" x14ac:dyDescent="0.2">
      <c r="A50" s="738">
        <v>40</v>
      </c>
      <c r="B50" s="838" t="s">
        <v>83</v>
      </c>
      <c r="C50" s="653" t="s">
        <v>84</v>
      </c>
      <c r="D50" s="772">
        <f>D51</f>
        <v>0</v>
      </c>
      <c r="E50" s="772">
        <f>E51</f>
        <v>0</v>
      </c>
      <c r="F50" s="814">
        <f>F51+F52</f>
        <v>154</v>
      </c>
      <c r="G50" s="814">
        <f>G51+G52</f>
        <v>100</v>
      </c>
      <c r="H50" s="814">
        <f>H51+H52</f>
        <v>54</v>
      </c>
      <c r="I50" s="814">
        <f>I51+I52</f>
        <v>0</v>
      </c>
      <c r="J50" s="814">
        <f>J51+J52</f>
        <v>0</v>
      </c>
      <c r="K50" s="634"/>
      <c r="L50" s="634"/>
      <c r="M50" s="910"/>
    </row>
    <row r="51" spans="1:13" s="4" customFormat="1" x14ac:dyDescent="0.2">
      <c r="A51" s="907">
        <v>41</v>
      </c>
      <c r="B51" s="651" t="s">
        <v>83</v>
      </c>
      <c r="C51" s="646"/>
      <c r="D51" s="829">
        <v>0</v>
      </c>
      <c r="E51" s="829">
        <v>0</v>
      </c>
      <c r="F51" s="800">
        <f>G51+H51+I51+J51</f>
        <v>154</v>
      </c>
      <c r="G51" s="800">
        <v>100</v>
      </c>
      <c r="H51" s="800">
        <f>60-6</f>
        <v>54</v>
      </c>
      <c r="I51" s="800">
        <v>0</v>
      </c>
      <c r="J51" s="800">
        <v>0</v>
      </c>
      <c r="K51" s="634"/>
      <c r="L51" s="634"/>
      <c r="M51" s="910"/>
    </row>
    <row r="52" spans="1:13" s="4" customFormat="1" hidden="1" x14ac:dyDescent="0.2">
      <c r="A52" s="738">
        <v>42</v>
      </c>
      <c r="B52" s="651" t="s">
        <v>85</v>
      </c>
      <c r="C52" s="646"/>
      <c r="D52" s="829"/>
      <c r="E52" s="829">
        <v>0</v>
      </c>
      <c r="F52" s="800"/>
      <c r="G52" s="800"/>
      <c r="H52" s="800"/>
      <c r="I52" s="800"/>
      <c r="J52" s="800"/>
      <c r="K52" s="634"/>
      <c r="L52" s="634"/>
      <c r="M52" s="910"/>
    </row>
    <row r="53" spans="1:13" s="4" customFormat="1" x14ac:dyDescent="0.2">
      <c r="A53" s="907">
        <v>43</v>
      </c>
      <c r="B53" s="637" t="s">
        <v>86</v>
      </c>
      <c r="C53" s="653" t="s">
        <v>87</v>
      </c>
      <c r="D53" s="772">
        <f t="shared" ref="D53:J53" si="4">D54+D55+D56</f>
        <v>0</v>
      </c>
      <c r="E53" s="772">
        <f t="shared" si="4"/>
        <v>0</v>
      </c>
      <c r="F53" s="814">
        <f t="shared" si="4"/>
        <v>178</v>
      </c>
      <c r="G53" s="814">
        <f t="shared" si="4"/>
        <v>104</v>
      </c>
      <c r="H53" s="814">
        <f t="shared" si="4"/>
        <v>67</v>
      </c>
      <c r="I53" s="814">
        <f t="shared" si="4"/>
        <v>5</v>
      </c>
      <c r="J53" s="814">
        <f t="shared" si="4"/>
        <v>2</v>
      </c>
      <c r="K53" s="634"/>
      <c r="L53" s="634"/>
      <c r="M53" s="910"/>
    </row>
    <row r="54" spans="1:13" s="4" customFormat="1" x14ac:dyDescent="0.2">
      <c r="A54" s="738">
        <v>44</v>
      </c>
      <c r="B54" s="645" t="s">
        <v>88</v>
      </c>
      <c r="C54" s="646"/>
      <c r="D54" s="829">
        <v>0</v>
      </c>
      <c r="E54" s="829">
        <v>0</v>
      </c>
      <c r="F54" s="800">
        <f>G54+H54+I54+J54</f>
        <v>96</v>
      </c>
      <c r="G54" s="800">
        <f>45+9</f>
        <v>54</v>
      </c>
      <c r="H54" s="800">
        <v>35</v>
      </c>
      <c r="I54" s="800">
        <f>35-30</f>
        <v>5</v>
      </c>
      <c r="J54" s="800">
        <f>19-17</f>
        <v>2</v>
      </c>
      <c r="K54" s="634"/>
      <c r="L54" s="634"/>
      <c r="M54" s="910"/>
    </row>
    <row r="55" spans="1:13" s="4" customFormat="1" x14ac:dyDescent="0.2">
      <c r="A55" s="907">
        <v>45</v>
      </c>
      <c r="B55" s="645" t="s">
        <v>89</v>
      </c>
      <c r="C55" s="646"/>
      <c r="D55" s="829">
        <v>0</v>
      </c>
      <c r="E55" s="829">
        <v>0</v>
      </c>
      <c r="F55" s="800">
        <f>G55+H55+I55+J55</f>
        <v>82</v>
      </c>
      <c r="G55" s="800">
        <f>60-10</f>
        <v>50</v>
      </c>
      <c r="H55" s="800">
        <f>43-11</f>
        <v>32</v>
      </c>
      <c r="I55" s="800">
        <v>0</v>
      </c>
      <c r="J55" s="800">
        <v>0</v>
      </c>
      <c r="K55" s="634"/>
      <c r="L55" s="634"/>
      <c r="M55" s="910"/>
    </row>
    <row r="56" spans="1:13" s="4" customFormat="1" hidden="1" x14ac:dyDescent="0.2">
      <c r="A56" s="738">
        <v>46</v>
      </c>
      <c r="B56" s="645" t="s">
        <v>90</v>
      </c>
      <c r="C56" s="646"/>
      <c r="D56" s="829">
        <v>0</v>
      </c>
      <c r="E56" s="829">
        <v>0</v>
      </c>
      <c r="F56" s="800">
        <f>G56+H56+I56+J56</f>
        <v>0</v>
      </c>
      <c r="G56" s="800">
        <v>0</v>
      </c>
      <c r="H56" s="814">
        <v>0</v>
      </c>
      <c r="I56" s="814">
        <v>0</v>
      </c>
      <c r="J56" s="814">
        <v>0</v>
      </c>
      <c r="K56" s="628"/>
      <c r="L56" s="628"/>
      <c r="M56" s="737"/>
    </row>
    <row r="57" spans="1:13" s="4" customFormat="1" hidden="1" x14ac:dyDescent="0.2">
      <c r="A57" s="907">
        <v>47</v>
      </c>
      <c r="B57" s="637" t="s">
        <v>91</v>
      </c>
      <c r="C57" s="658" t="s">
        <v>92</v>
      </c>
      <c r="D57" s="772"/>
      <c r="E57" s="772"/>
      <c r="F57" s="800">
        <f>G57+H57+I57+J57</f>
        <v>0</v>
      </c>
      <c r="G57" s="814"/>
      <c r="H57" s="814"/>
      <c r="I57" s="814"/>
      <c r="J57" s="814"/>
      <c r="K57" s="628"/>
      <c r="L57" s="628"/>
      <c r="M57" s="737"/>
    </row>
    <row r="58" spans="1:13" s="4" customFormat="1" x14ac:dyDescent="0.2">
      <c r="A58" s="738">
        <v>48</v>
      </c>
      <c r="B58" s="651" t="s">
        <v>93</v>
      </c>
      <c r="C58" s="653" t="s">
        <v>94</v>
      </c>
      <c r="D58" s="772">
        <v>0</v>
      </c>
      <c r="E58" s="772">
        <v>0</v>
      </c>
      <c r="F58" s="814">
        <f>G58+H58+I58+J58</f>
        <v>831</v>
      </c>
      <c r="G58" s="814">
        <v>208</v>
      </c>
      <c r="H58" s="814">
        <v>208</v>
      </c>
      <c r="I58" s="814">
        <v>208</v>
      </c>
      <c r="J58" s="814">
        <v>207</v>
      </c>
      <c r="K58" s="628"/>
      <c r="L58" s="628"/>
      <c r="M58" s="737"/>
    </row>
    <row r="59" spans="1:13" s="4" customFormat="1" x14ac:dyDescent="0.2">
      <c r="A59" s="907">
        <v>49</v>
      </c>
      <c r="B59" s="637" t="s">
        <v>95</v>
      </c>
      <c r="C59" s="653" t="s">
        <v>96</v>
      </c>
      <c r="D59" s="772">
        <f t="shared" ref="D59:J59" si="5">D60+D61+D62+D63</f>
        <v>0</v>
      </c>
      <c r="E59" s="772">
        <f t="shared" si="5"/>
        <v>0</v>
      </c>
      <c r="F59" s="814">
        <f t="shared" si="5"/>
        <v>46</v>
      </c>
      <c r="G59" s="814">
        <f t="shared" si="5"/>
        <v>14</v>
      </c>
      <c r="H59" s="814">
        <f t="shared" si="5"/>
        <v>22</v>
      </c>
      <c r="I59" s="814">
        <f t="shared" si="5"/>
        <v>5</v>
      </c>
      <c r="J59" s="814">
        <f t="shared" si="5"/>
        <v>5</v>
      </c>
      <c r="K59" s="628"/>
      <c r="L59" s="628"/>
      <c r="M59" s="737"/>
    </row>
    <row r="60" spans="1:13" s="4" customFormat="1" x14ac:dyDescent="0.2">
      <c r="A60" s="738">
        <v>50</v>
      </c>
      <c r="B60" s="645" t="s">
        <v>97</v>
      </c>
      <c r="C60" s="646" t="s">
        <v>98</v>
      </c>
      <c r="D60" s="829">
        <v>0</v>
      </c>
      <c r="E60" s="829">
        <v>0</v>
      </c>
      <c r="F60" s="800">
        <f>G60+H60+I60+J60</f>
        <v>20</v>
      </c>
      <c r="G60" s="800">
        <v>5</v>
      </c>
      <c r="H60" s="800">
        <v>5</v>
      </c>
      <c r="I60" s="800">
        <v>5</v>
      </c>
      <c r="J60" s="800">
        <v>5</v>
      </c>
      <c r="K60" s="634"/>
      <c r="L60" s="634"/>
      <c r="M60" s="910"/>
    </row>
    <row r="61" spans="1:13" s="4" customFormat="1" x14ac:dyDescent="0.2">
      <c r="A61" s="907">
        <v>51</v>
      </c>
      <c r="B61" s="645" t="s">
        <v>99</v>
      </c>
      <c r="C61" s="646" t="s">
        <v>100</v>
      </c>
      <c r="D61" s="829">
        <v>0</v>
      </c>
      <c r="E61" s="829">
        <v>0</v>
      </c>
      <c r="F61" s="800">
        <f>G61+H61+I61+J61</f>
        <v>15</v>
      </c>
      <c r="G61" s="800">
        <f>17-12</f>
        <v>5</v>
      </c>
      <c r="H61" s="800">
        <v>10</v>
      </c>
      <c r="I61" s="800">
        <v>0</v>
      </c>
      <c r="J61" s="800">
        <v>0</v>
      </c>
      <c r="K61" s="634"/>
      <c r="L61" s="634"/>
      <c r="M61" s="910"/>
    </row>
    <row r="62" spans="1:13" s="4" customFormat="1" x14ac:dyDescent="0.2">
      <c r="A62" s="738">
        <v>52</v>
      </c>
      <c r="B62" s="645" t="s">
        <v>101</v>
      </c>
      <c r="C62" s="646" t="s">
        <v>102</v>
      </c>
      <c r="D62" s="829">
        <v>0</v>
      </c>
      <c r="E62" s="829">
        <v>0</v>
      </c>
      <c r="F62" s="800">
        <f>G62+H62+I62+J62</f>
        <v>11</v>
      </c>
      <c r="G62" s="800">
        <v>4</v>
      </c>
      <c r="H62" s="800">
        <f>10-3</f>
        <v>7</v>
      </c>
      <c r="I62" s="800">
        <v>0</v>
      </c>
      <c r="J62" s="800">
        <v>0</v>
      </c>
      <c r="K62" s="634"/>
      <c r="L62" s="634"/>
      <c r="M62" s="910"/>
    </row>
    <row r="63" spans="1:13" s="4" customFormat="1" hidden="1" x14ac:dyDescent="0.2">
      <c r="A63" s="907">
        <v>53</v>
      </c>
      <c r="B63" s="645" t="s">
        <v>103</v>
      </c>
      <c r="C63" s="646" t="s">
        <v>102</v>
      </c>
      <c r="D63" s="829">
        <v>0</v>
      </c>
      <c r="E63" s="829">
        <v>0</v>
      </c>
      <c r="F63" s="800">
        <f>G63+H63+I63+J63</f>
        <v>0</v>
      </c>
      <c r="G63" s="800"/>
      <c r="H63" s="800"/>
      <c r="I63" s="800"/>
      <c r="J63" s="800"/>
      <c r="K63" s="634"/>
      <c r="L63" s="634"/>
      <c r="M63" s="910"/>
    </row>
    <row r="64" spans="1:13" s="4" customFormat="1" x14ac:dyDescent="0.2">
      <c r="A64" s="738">
        <v>54</v>
      </c>
      <c r="B64" s="652" t="s">
        <v>104</v>
      </c>
      <c r="C64" s="653" t="s">
        <v>105</v>
      </c>
      <c r="D64" s="772">
        <f>D65+D67+D68</f>
        <v>0</v>
      </c>
      <c r="E64" s="772">
        <f>E65+E67+E68</f>
        <v>0</v>
      </c>
      <c r="F64" s="814">
        <f>F65+F66+F67+F68</f>
        <v>150.69999999999999</v>
      </c>
      <c r="G64" s="814">
        <f>G65+G66+G67+G68</f>
        <v>28</v>
      </c>
      <c r="H64" s="814">
        <f>H65+H66+H67+H68</f>
        <v>112.69999999999999</v>
      </c>
      <c r="I64" s="814">
        <f>I65+I66+I67+I68</f>
        <v>10</v>
      </c>
      <c r="J64" s="814">
        <f>J65+J66+J67+J68</f>
        <v>0</v>
      </c>
      <c r="K64" s="628"/>
      <c r="L64" s="628"/>
      <c r="M64" s="737"/>
    </row>
    <row r="65" spans="1:13" s="4" customFormat="1" x14ac:dyDescent="0.2">
      <c r="A65" s="907">
        <v>55</v>
      </c>
      <c r="B65" s="645" t="s">
        <v>106</v>
      </c>
      <c r="C65" s="646" t="s">
        <v>107</v>
      </c>
      <c r="D65" s="829">
        <v>0</v>
      </c>
      <c r="E65" s="829">
        <v>0</v>
      </c>
      <c r="F65" s="800">
        <f>G65+H65+I65+J65</f>
        <v>0</v>
      </c>
      <c r="G65" s="800">
        <v>0</v>
      </c>
      <c r="H65" s="800">
        <v>0</v>
      </c>
      <c r="I65" s="800">
        <v>0</v>
      </c>
      <c r="J65" s="800">
        <v>0</v>
      </c>
      <c r="K65" s="628"/>
      <c r="L65" s="628"/>
      <c r="M65" s="737"/>
    </row>
    <row r="66" spans="1:13" s="4" customFormat="1" x14ac:dyDescent="0.2">
      <c r="A66" s="738">
        <v>56</v>
      </c>
      <c r="B66" s="645" t="s">
        <v>108</v>
      </c>
      <c r="C66" s="646" t="s">
        <v>109</v>
      </c>
      <c r="D66" s="829">
        <v>0</v>
      </c>
      <c r="E66" s="829">
        <v>0</v>
      </c>
      <c r="F66" s="800">
        <f>G66+H66+I66+J66</f>
        <v>57.4</v>
      </c>
      <c r="G66" s="800">
        <v>28</v>
      </c>
      <c r="H66" s="800">
        <f>20+9.4</f>
        <v>29.4</v>
      </c>
      <c r="I66" s="800">
        <v>0</v>
      </c>
      <c r="J66" s="800">
        <v>0</v>
      </c>
      <c r="K66" s="634"/>
      <c r="L66" s="634"/>
      <c r="M66" s="910"/>
    </row>
    <row r="67" spans="1:13" s="4" customFormat="1" x14ac:dyDescent="0.2">
      <c r="A67" s="907">
        <v>57</v>
      </c>
      <c r="B67" s="645" t="s">
        <v>110</v>
      </c>
      <c r="C67" s="646" t="s">
        <v>111</v>
      </c>
      <c r="D67" s="829">
        <v>0</v>
      </c>
      <c r="E67" s="829">
        <v>0</v>
      </c>
      <c r="F67" s="800">
        <f>G67+H67+I67+J67</f>
        <v>93.3</v>
      </c>
      <c r="G67" s="800">
        <v>0</v>
      </c>
      <c r="H67" s="800">
        <f>15+68.3</f>
        <v>83.3</v>
      </c>
      <c r="I67" s="800">
        <v>10</v>
      </c>
      <c r="J67" s="800">
        <v>0</v>
      </c>
      <c r="K67" s="634"/>
      <c r="L67" s="634"/>
      <c r="M67" s="910"/>
    </row>
    <row r="68" spans="1:13" s="4" customFormat="1" hidden="1" x14ac:dyDescent="0.2">
      <c r="A68" s="738">
        <v>58</v>
      </c>
      <c r="B68" s="645" t="s">
        <v>112</v>
      </c>
      <c r="C68" s="646" t="s">
        <v>111</v>
      </c>
      <c r="D68" s="829">
        <v>0</v>
      </c>
      <c r="E68" s="829">
        <v>0</v>
      </c>
      <c r="F68" s="800">
        <f>G68+H68+I68+J68</f>
        <v>0</v>
      </c>
      <c r="G68" s="800">
        <v>0</v>
      </c>
      <c r="H68" s="800">
        <v>0</v>
      </c>
      <c r="I68" s="800">
        <v>0</v>
      </c>
      <c r="J68" s="800">
        <v>0</v>
      </c>
      <c r="K68" s="634"/>
      <c r="L68" s="634"/>
      <c r="M68" s="910"/>
    </row>
    <row r="69" spans="1:13" s="4" customFormat="1" x14ac:dyDescent="0.2">
      <c r="A69" s="907">
        <v>59</v>
      </c>
      <c r="B69" s="654" t="s">
        <v>113</v>
      </c>
      <c r="C69" s="653" t="s">
        <v>114</v>
      </c>
      <c r="D69" s="772">
        <f>D70</f>
        <v>0</v>
      </c>
      <c r="E69" s="772">
        <f>E70</f>
        <v>0</v>
      </c>
      <c r="F69" s="814">
        <f>F70+F71</f>
        <v>8</v>
      </c>
      <c r="G69" s="814">
        <f>G70+G71</f>
        <v>3</v>
      </c>
      <c r="H69" s="814">
        <f>H70+H71</f>
        <v>2</v>
      </c>
      <c r="I69" s="814">
        <f>I70+I71</f>
        <v>2</v>
      </c>
      <c r="J69" s="814">
        <f>J70+J71</f>
        <v>1</v>
      </c>
      <c r="K69" s="628"/>
      <c r="L69" s="628"/>
      <c r="M69" s="737"/>
    </row>
    <row r="70" spans="1:13" s="4" customFormat="1" x14ac:dyDescent="0.2">
      <c r="A70" s="738">
        <v>60</v>
      </c>
      <c r="B70" s="645" t="s">
        <v>115</v>
      </c>
      <c r="C70" s="646" t="s">
        <v>116</v>
      </c>
      <c r="D70" s="829">
        <v>0</v>
      </c>
      <c r="E70" s="829">
        <v>0</v>
      </c>
      <c r="F70" s="800">
        <f>G70+H70+I70+J70</f>
        <v>8</v>
      </c>
      <c r="G70" s="800">
        <v>3</v>
      </c>
      <c r="H70" s="800">
        <v>2</v>
      </c>
      <c r="I70" s="800">
        <f>2-1+1</f>
        <v>2</v>
      </c>
      <c r="J70" s="800">
        <f>1-1+1</f>
        <v>1</v>
      </c>
      <c r="K70" s="634"/>
      <c r="L70" s="634"/>
      <c r="M70" s="910"/>
    </row>
    <row r="71" spans="1:13" s="4" customFormat="1" hidden="1" x14ac:dyDescent="0.2">
      <c r="A71" s="907">
        <v>61</v>
      </c>
      <c r="B71" s="645" t="s">
        <v>117</v>
      </c>
      <c r="C71" s="646" t="s">
        <v>118</v>
      </c>
      <c r="D71" s="829"/>
      <c r="E71" s="829"/>
      <c r="F71" s="800">
        <f>G71+H71+I71+J71</f>
        <v>0</v>
      </c>
      <c r="G71" s="800">
        <v>0</v>
      </c>
      <c r="H71" s="800">
        <v>0</v>
      </c>
      <c r="I71" s="800">
        <v>0</v>
      </c>
      <c r="J71" s="800">
        <v>0</v>
      </c>
      <c r="K71" s="634"/>
      <c r="L71" s="634"/>
      <c r="M71" s="910"/>
    </row>
    <row r="72" spans="1:13" s="4" customFormat="1" hidden="1" x14ac:dyDescent="0.2">
      <c r="A72" s="738">
        <v>62</v>
      </c>
      <c r="B72" s="637" t="s">
        <v>119</v>
      </c>
      <c r="C72" s="653" t="s">
        <v>120</v>
      </c>
      <c r="D72" s="772"/>
      <c r="E72" s="772"/>
      <c r="F72" s="814"/>
      <c r="G72" s="814"/>
      <c r="H72" s="814"/>
      <c r="I72" s="814"/>
      <c r="J72" s="814"/>
      <c r="K72" s="628"/>
      <c r="L72" s="628"/>
      <c r="M72" s="737"/>
    </row>
    <row r="73" spans="1:13" s="4" customFormat="1" hidden="1" x14ac:dyDescent="0.2">
      <c r="A73" s="907">
        <v>63</v>
      </c>
      <c r="B73" s="637" t="s">
        <v>121</v>
      </c>
      <c r="C73" s="653" t="s">
        <v>122</v>
      </c>
      <c r="D73" s="772"/>
      <c r="E73" s="772"/>
      <c r="F73" s="814"/>
      <c r="G73" s="814"/>
      <c r="H73" s="814"/>
      <c r="I73" s="814"/>
      <c r="J73" s="814"/>
      <c r="K73" s="628"/>
      <c r="L73" s="628"/>
      <c r="M73" s="737"/>
    </row>
    <row r="74" spans="1:13" s="4" customFormat="1" hidden="1" x14ac:dyDescent="0.2">
      <c r="A74" s="738">
        <v>64</v>
      </c>
      <c r="B74" s="637" t="s">
        <v>123</v>
      </c>
      <c r="C74" s="653" t="s">
        <v>124</v>
      </c>
      <c r="D74" s="772"/>
      <c r="E74" s="772"/>
      <c r="F74" s="814">
        <f>G74+H74+I74+J74</f>
        <v>0</v>
      </c>
      <c r="G74" s="814">
        <v>0</v>
      </c>
      <c r="H74" s="814">
        <v>0</v>
      </c>
      <c r="I74" s="814">
        <v>0</v>
      </c>
      <c r="J74" s="814">
        <v>0</v>
      </c>
      <c r="K74" s="628"/>
      <c r="L74" s="628"/>
      <c r="M74" s="737"/>
    </row>
    <row r="75" spans="1:13" s="4" customFormat="1" hidden="1" x14ac:dyDescent="0.2">
      <c r="A75" s="907">
        <v>65</v>
      </c>
      <c r="B75" s="637" t="s">
        <v>125</v>
      </c>
      <c r="C75" s="653" t="s">
        <v>126</v>
      </c>
      <c r="D75" s="772"/>
      <c r="E75" s="772"/>
      <c r="F75" s="814"/>
      <c r="G75" s="814"/>
      <c r="H75" s="814"/>
      <c r="I75" s="814"/>
      <c r="J75" s="814"/>
      <c r="K75" s="628"/>
      <c r="L75" s="628"/>
      <c r="M75" s="737"/>
    </row>
    <row r="76" spans="1:13" s="4" customFormat="1" x14ac:dyDescent="0.2">
      <c r="A76" s="738">
        <v>66</v>
      </c>
      <c r="B76" s="637" t="s">
        <v>127</v>
      </c>
      <c r="C76" s="653" t="s">
        <v>128</v>
      </c>
      <c r="D76" s="772">
        <f t="shared" ref="D76:J76" si="6">D77+D78</f>
        <v>0</v>
      </c>
      <c r="E76" s="772">
        <f t="shared" si="6"/>
        <v>0</v>
      </c>
      <c r="F76" s="813">
        <f>F77+F78</f>
        <v>276</v>
      </c>
      <c r="G76" s="814">
        <f t="shared" si="6"/>
        <v>133</v>
      </c>
      <c r="H76" s="814">
        <f t="shared" si="6"/>
        <v>25</v>
      </c>
      <c r="I76" s="814">
        <f t="shared" si="6"/>
        <v>75</v>
      </c>
      <c r="J76" s="814">
        <f t="shared" si="6"/>
        <v>43</v>
      </c>
      <c r="K76" s="628"/>
      <c r="L76" s="628"/>
      <c r="M76" s="737"/>
    </row>
    <row r="77" spans="1:13" s="4" customFormat="1" hidden="1" x14ac:dyDescent="0.2">
      <c r="A77" s="907">
        <v>67</v>
      </c>
      <c r="B77" s="645" t="s">
        <v>129</v>
      </c>
      <c r="C77" s="646" t="s">
        <v>130</v>
      </c>
      <c r="D77" s="772"/>
      <c r="E77" s="772"/>
      <c r="F77" s="814">
        <f>G77+H77+I77+J77</f>
        <v>0</v>
      </c>
      <c r="G77" s="814"/>
      <c r="H77" s="814"/>
      <c r="I77" s="814"/>
      <c r="J77" s="814"/>
      <c r="K77" s="628"/>
      <c r="L77" s="628"/>
      <c r="M77" s="737"/>
    </row>
    <row r="78" spans="1:13" s="4" customFormat="1" x14ac:dyDescent="0.2">
      <c r="A78" s="738">
        <v>68</v>
      </c>
      <c r="B78" s="645" t="s">
        <v>131</v>
      </c>
      <c r="C78" s="653" t="s">
        <v>132</v>
      </c>
      <c r="D78" s="772">
        <f>D79+D80+D86</f>
        <v>0</v>
      </c>
      <c r="E78" s="772">
        <f>E79+E80+E86</f>
        <v>0</v>
      </c>
      <c r="F78" s="814">
        <f>F79+F80+F81+F86+F82+F83+F84+F85</f>
        <v>276</v>
      </c>
      <c r="G78" s="814">
        <f>G79+G80+G81+G86+G83</f>
        <v>133</v>
      </c>
      <c r="H78" s="814">
        <f>H79+H80+H81+H86+H83</f>
        <v>25</v>
      </c>
      <c r="I78" s="814">
        <f>I79+I80+I81+I86+I83</f>
        <v>75</v>
      </c>
      <c r="J78" s="814">
        <f>J79+J80+J81+J86+J83</f>
        <v>43</v>
      </c>
      <c r="K78" s="634"/>
      <c r="L78" s="634"/>
      <c r="M78" s="910"/>
    </row>
    <row r="79" spans="1:13" s="4" customFormat="1" ht="25.5" x14ac:dyDescent="0.2">
      <c r="A79" s="907">
        <v>69</v>
      </c>
      <c r="B79" s="959" t="s">
        <v>377</v>
      </c>
      <c r="C79" s="835"/>
      <c r="D79" s="836">
        <v>0</v>
      </c>
      <c r="E79" s="836">
        <v>0</v>
      </c>
      <c r="F79" s="839">
        <f>G79+H79+I79+J79</f>
        <v>274</v>
      </c>
      <c r="G79" s="839">
        <f>76+50+5</f>
        <v>131</v>
      </c>
      <c r="H79" s="839">
        <f>75-50</f>
        <v>25</v>
      </c>
      <c r="I79" s="839">
        <f>75-50+50</f>
        <v>75</v>
      </c>
      <c r="J79" s="839">
        <f>72-69+40</f>
        <v>43</v>
      </c>
      <c r="K79" s="634"/>
      <c r="L79" s="634"/>
      <c r="M79" s="910"/>
    </row>
    <row r="80" spans="1:13" s="4" customFormat="1" hidden="1" x14ac:dyDescent="0.2">
      <c r="A80" s="738">
        <v>70</v>
      </c>
      <c r="B80" s="830" t="s">
        <v>343</v>
      </c>
      <c r="C80" s="646"/>
      <c r="D80" s="829">
        <v>0</v>
      </c>
      <c r="E80" s="829">
        <v>0</v>
      </c>
      <c r="F80" s="800">
        <f>G80+H80+I80+J80</f>
        <v>0</v>
      </c>
      <c r="G80" s="800">
        <f>50-50</f>
        <v>0</v>
      </c>
      <c r="H80" s="800">
        <f>50-50</f>
        <v>0</v>
      </c>
      <c r="I80" s="800">
        <f>40-40</f>
        <v>0</v>
      </c>
      <c r="J80" s="800">
        <f>38-38</f>
        <v>0</v>
      </c>
      <c r="K80" s="634"/>
      <c r="L80" s="634"/>
      <c r="M80" s="910"/>
    </row>
    <row r="81" spans="1:13" s="4" customFormat="1" hidden="1" x14ac:dyDescent="0.2">
      <c r="A81" s="907">
        <v>71</v>
      </c>
      <c r="B81" s="645" t="s">
        <v>134</v>
      </c>
      <c r="C81" s="646"/>
      <c r="D81" s="646"/>
      <c r="E81" s="646"/>
      <c r="F81" s="800">
        <f t="shared" ref="F81:F138" si="7">G81+H81+I81+J81</f>
        <v>0</v>
      </c>
      <c r="G81" s="840"/>
      <c r="H81" s="840"/>
      <c r="I81" s="840"/>
      <c r="J81" s="840"/>
      <c r="K81" s="841"/>
      <c r="L81" s="841"/>
      <c r="M81" s="1025"/>
    </row>
    <row r="82" spans="1:13" s="4" customFormat="1" hidden="1" x14ac:dyDescent="0.2">
      <c r="A82" s="738">
        <v>72</v>
      </c>
      <c r="B82" s="645" t="s">
        <v>135</v>
      </c>
      <c r="C82" s="646"/>
      <c r="D82" s="646"/>
      <c r="E82" s="646"/>
      <c r="F82" s="800">
        <f t="shared" si="7"/>
        <v>0</v>
      </c>
      <c r="G82" s="840"/>
      <c r="H82" s="840"/>
      <c r="I82" s="840"/>
      <c r="J82" s="840"/>
      <c r="K82" s="841"/>
      <c r="L82" s="841"/>
      <c r="M82" s="1025"/>
    </row>
    <row r="83" spans="1:13" s="4" customFormat="1" hidden="1" x14ac:dyDescent="0.2">
      <c r="A83" s="907">
        <v>73</v>
      </c>
      <c r="B83" s="645" t="s">
        <v>340</v>
      </c>
      <c r="C83" s="646"/>
      <c r="D83" s="639" t="s">
        <v>139</v>
      </c>
      <c r="E83" s="639" t="s">
        <v>139</v>
      </c>
      <c r="F83" s="800">
        <f t="shared" si="7"/>
        <v>0</v>
      </c>
      <c r="G83" s="800">
        <v>0</v>
      </c>
      <c r="H83" s="800">
        <f>22-22</f>
        <v>0</v>
      </c>
      <c r="I83" s="800">
        <f>21-21</f>
        <v>0</v>
      </c>
      <c r="J83" s="800">
        <f>20-20</f>
        <v>0</v>
      </c>
      <c r="K83" s="841"/>
      <c r="L83" s="841"/>
      <c r="M83" s="1025"/>
    </row>
    <row r="84" spans="1:13" s="4" customFormat="1" hidden="1" x14ac:dyDescent="0.2">
      <c r="A84" s="738">
        <v>74</v>
      </c>
      <c r="B84" s="645" t="s">
        <v>136</v>
      </c>
      <c r="C84" s="646"/>
      <c r="D84" s="646"/>
      <c r="E84" s="646"/>
      <c r="F84" s="800">
        <f t="shared" si="7"/>
        <v>0</v>
      </c>
      <c r="G84" s="840"/>
      <c r="H84" s="840"/>
      <c r="I84" s="840"/>
      <c r="J84" s="840"/>
      <c r="K84" s="841"/>
      <c r="L84" s="841"/>
      <c r="M84" s="1025"/>
    </row>
    <row r="85" spans="1:13" s="4" customFormat="1" hidden="1" x14ac:dyDescent="0.2">
      <c r="A85" s="907">
        <v>75</v>
      </c>
      <c r="B85" s="645" t="s">
        <v>137</v>
      </c>
      <c r="C85" s="646"/>
      <c r="D85" s="646"/>
      <c r="E85" s="646"/>
      <c r="F85" s="800">
        <f t="shared" si="7"/>
        <v>0</v>
      </c>
      <c r="G85" s="840"/>
      <c r="H85" s="840"/>
      <c r="I85" s="840"/>
      <c r="J85" s="840"/>
      <c r="K85" s="841"/>
      <c r="L85" s="841"/>
      <c r="M85" s="1025"/>
    </row>
    <row r="86" spans="1:13" s="4" customFormat="1" ht="13.5" thickBot="1" x14ac:dyDescent="0.25">
      <c r="A86" s="1026">
        <v>76</v>
      </c>
      <c r="B86" s="789" t="s">
        <v>344</v>
      </c>
      <c r="C86" s="790"/>
      <c r="D86" s="860" t="s">
        <v>139</v>
      </c>
      <c r="E86" s="860" t="s">
        <v>139</v>
      </c>
      <c r="F86" s="815">
        <f t="shared" si="7"/>
        <v>2</v>
      </c>
      <c r="G86" s="815">
        <v>2</v>
      </c>
      <c r="H86" s="815">
        <v>0</v>
      </c>
      <c r="I86" s="815">
        <v>0</v>
      </c>
      <c r="J86" s="815">
        <v>0</v>
      </c>
      <c r="K86" s="1027"/>
      <c r="L86" s="1027"/>
      <c r="M86" s="1028"/>
    </row>
    <row r="87" spans="1:13" s="4" customFormat="1" ht="26.25" hidden="1" thickBot="1" x14ac:dyDescent="0.25">
      <c r="A87" s="1022">
        <v>77</v>
      </c>
      <c r="B87" s="95" t="s">
        <v>140</v>
      </c>
      <c r="C87" s="69" t="s">
        <v>141</v>
      </c>
      <c r="D87" s="96"/>
      <c r="E87" s="96"/>
      <c r="F87" s="399">
        <f t="shared" si="7"/>
        <v>0</v>
      </c>
      <c r="G87" s="97"/>
      <c r="H87" s="97"/>
      <c r="I87" s="97"/>
      <c r="J87" s="97"/>
      <c r="K87" s="98"/>
      <c r="L87" s="97"/>
      <c r="M87" s="99"/>
    </row>
    <row r="88" spans="1:13" s="4" customFormat="1" ht="39" hidden="1" thickBot="1" x14ac:dyDescent="0.25">
      <c r="A88" s="634">
        <v>78</v>
      </c>
      <c r="B88" s="100" t="s">
        <v>142</v>
      </c>
      <c r="C88" s="101" t="s">
        <v>143</v>
      </c>
      <c r="D88" s="102"/>
      <c r="E88" s="102"/>
      <c r="F88" s="83">
        <f t="shared" si="7"/>
        <v>0</v>
      </c>
      <c r="G88" s="103"/>
      <c r="H88" s="103"/>
      <c r="I88" s="103"/>
      <c r="J88" s="103"/>
      <c r="K88" s="104"/>
      <c r="L88" s="103"/>
      <c r="M88" s="105"/>
    </row>
    <row r="89" spans="1:13" s="4" customFormat="1" ht="13.5" hidden="1" thickBot="1" x14ac:dyDescent="0.25">
      <c r="A89" s="627">
        <v>79</v>
      </c>
      <c r="B89" s="106" t="s">
        <v>144</v>
      </c>
      <c r="C89" s="81" t="s">
        <v>145</v>
      </c>
      <c r="D89" s="107"/>
      <c r="E89" s="107"/>
      <c r="F89" s="83">
        <f t="shared" si="7"/>
        <v>0</v>
      </c>
      <c r="G89" s="108"/>
      <c r="H89" s="108"/>
      <c r="I89" s="108"/>
      <c r="J89" s="108"/>
      <c r="K89" s="109"/>
      <c r="L89" s="108"/>
      <c r="M89" s="110"/>
    </row>
    <row r="90" spans="1:13" s="4" customFormat="1" ht="13.5" hidden="1" thickBot="1" x14ac:dyDescent="0.25">
      <c r="A90" s="634">
        <v>80</v>
      </c>
      <c r="B90" s="35" t="s">
        <v>146</v>
      </c>
      <c r="C90" s="69" t="s">
        <v>147</v>
      </c>
      <c r="D90" s="96"/>
      <c r="E90" s="96"/>
      <c r="F90" s="83">
        <f t="shared" si="7"/>
        <v>0</v>
      </c>
      <c r="G90" s="111"/>
      <c r="H90" s="111"/>
      <c r="I90" s="111"/>
      <c r="J90" s="111"/>
      <c r="K90" s="112"/>
      <c r="L90" s="111"/>
      <c r="M90" s="113"/>
    </row>
    <row r="91" spans="1:13" s="4" customFormat="1" ht="13.5" hidden="1" thickBot="1" x14ac:dyDescent="0.25">
      <c r="A91" s="627">
        <v>81</v>
      </c>
      <c r="B91" s="55" t="s">
        <v>148</v>
      </c>
      <c r="C91" s="56" t="s">
        <v>149</v>
      </c>
      <c r="D91" s="114"/>
      <c r="E91" s="114"/>
      <c r="F91" s="83">
        <f t="shared" si="7"/>
        <v>0</v>
      </c>
      <c r="G91" s="103">
        <f>G92</f>
        <v>0</v>
      </c>
      <c r="H91" s="103">
        <f>H92</f>
        <v>0</v>
      </c>
      <c r="I91" s="103">
        <f>I92</f>
        <v>0</v>
      </c>
      <c r="J91" s="103">
        <f>J92</f>
        <v>0</v>
      </c>
      <c r="K91" s="104"/>
      <c r="L91" s="103"/>
      <c r="M91" s="105"/>
    </row>
    <row r="92" spans="1:13" s="4" customFormat="1" ht="13.5" hidden="1" thickBot="1" x14ac:dyDescent="0.25">
      <c r="A92" s="634">
        <v>82</v>
      </c>
      <c r="B92" s="115" t="s">
        <v>150</v>
      </c>
      <c r="C92" s="56" t="s">
        <v>151</v>
      </c>
      <c r="D92" s="114"/>
      <c r="E92" s="114"/>
      <c r="F92" s="83">
        <f t="shared" si="7"/>
        <v>0</v>
      </c>
      <c r="G92" s="103">
        <f>G93+G106</f>
        <v>0</v>
      </c>
      <c r="H92" s="103">
        <f>H93+H106</f>
        <v>0</v>
      </c>
      <c r="I92" s="103">
        <f>I93+I106</f>
        <v>0</v>
      </c>
      <c r="J92" s="103">
        <f>J93+J106</f>
        <v>0</v>
      </c>
      <c r="K92" s="104"/>
      <c r="L92" s="103"/>
      <c r="M92" s="105"/>
    </row>
    <row r="93" spans="1:13" s="4" customFormat="1" ht="13.5" hidden="1" thickBot="1" x14ac:dyDescent="0.25">
      <c r="A93" s="627">
        <v>83</v>
      </c>
      <c r="B93" s="115" t="s">
        <v>152</v>
      </c>
      <c r="C93" s="56" t="s">
        <v>153</v>
      </c>
      <c r="D93" s="114"/>
      <c r="E93" s="114"/>
      <c r="F93" s="83">
        <f t="shared" si="7"/>
        <v>0</v>
      </c>
      <c r="G93" s="103">
        <f>G94+G95+G96+G97+G99+G100</f>
        <v>0</v>
      </c>
      <c r="H93" s="103">
        <f>H94+H95+H96+H97+H99+H100</f>
        <v>0</v>
      </c>
      <c r="I93" s="103">
        <f>I94+I95+I96+I97+I99+I100</f>
        <v>0</v>
      </c>
      <c r="J93" s="103">
        <f>J94+J95+J96+J97+J99+J100</f>
        <v>0</v>
      </c>
      <c r="K93" s="104"/>
      <c r="L93" s="103"/>
      <c r="M93" s="105"/>
    </row>
    <row r="94" spans="1:13" s="4" customFormat="1" ht="13.5" hidden="1" thickBot="1" x14ac:dyDescent="0.25">
      <c r="A94" s="634">
        <v>84</v>
      </c>
      <c r="B94" s="116" t="s">
        <v>154</v>
      </c>
      <c r="C94" s="41"/>
      <c r="D94" s="117"/>
      <c r="E94" s="117"/>
      <c r="F94" s="83">
        <f t="shared" si="7"/>
        <v>0</v>
      </c>
      <c r="G94" s="103"/>
      <c r="H94" s="103"/>
      <c r="I94" s="103"/>
      <c r="J94" s="103"/>
      <c r="K94" s="118"/>
      <c r="L94" s="103"/>
      <c r="M94" s="105"/>
    </row>
    <row r="95" spans="1:13" s="4" customFormat="1" ht="13.5" hidden="1" thickBot="1" x14ac:dyDescent="0.25">
      <c r="A95" s="627">
        <v>85</v>
      </c>
      <c r="B95" s="116" t="s">
        <v>155</v>
      </c>
      <c r="C95" s="41"/>
      <c r="D95" s="117"/>
      <c r="E95" s="117"/>
      <c r="F95" s="83">
        <f t="shared" si="7"/>
        <v>0</v>
      </c>
      <c r="G95" s="103"/>
      <c r="H95" s="103"/>
      <c r="I95" s="103"/>
      <c r="J95" s="103"/>
      <c r="K95" s="118"/>
      <c r="L95" s="103"/>
      <c r="M95" s="105"/>
    </row>
    <row r="96" spans="1:13" s="4" customFormat="1" ht="13.5" hidden="1" thickBot="1" x14ac:dyDescent="0.25">
      <c r="A96" s="634">
        <v>86</v>
      </c>
      <c r="B96" s="116" t="s">
        <v>156</v>
      </c>
      <c r="C96" s="41"/>
      <c r="D96" s="117"/>
      <c r="E96" s="117"/>
      <c r="F96" s="83">
        <f t="shared" si="7"/>
        <v>0</v>
      </c>
      <c r="G96" s="103"/>
      <c r="H96" s="103"/>
      <c r="I96" s="103"/>
      <c r="J96" s="103"/>
      <c r="K96" s="118"/>
      <c r="L96" s="103"/>
      <c r="M96" s="105"/>
    </row>
    <row r="97" spans="1:13" s="4" customFormat="1" ht="13.5" hidden="1" thickBot="1" x14ac:dyDescent="0.25">
      <c r="A97" s="627">
        <v>87</v>
      </c>
      <c r="B97" s="119" t="s">
        <v>157</v>
      </c>
      <c r="C97" s="41"/>
      <c r="D97" s="117"/>
      <c r="E97" s="117"/>
      <c r="F97" s="83">
        <f t="shared" si="7"/>
        <v>0</v>
      </c>
      <c r="G97" s="103"/>
      <c r="H97" s="103"/>
      <c r="I97" s="103"/>
      <c r="J97" s="103"/>
      <c r="K97" s="118"/>
      <c r="L97" s="103"/>
      <c r="M97" s="105"/>
    </row>
    <row r="98" spans="1:13" s="4" customFormat="1" ht="13.5" hidden="1" thickBot="1" x14ac:dyDescent="0.25">
      <c r="A98" s="634">
        <v>88</v>
      </c>
      <c r="B98" s="120" t="s">
        <v>158</v>
      </c>
      <c r="C98" s="41"/>
      <c r="D98" s="117"/>
      <c r="E98" s="117"/>
      <c r="F98" s="83">
        <f t="shared" si="7"/>
        <v>0</v>
      </c>
      <c r="G98" s="103"/>
      <c r="H98" s="103"/>
      <c r="I98" s="103"/>
      <c r="J98" s="103"/>
      <c r="K98" s="118"/>
      <c r="L98" s="103"/>
      <c r="M98" s="105"/>
    </row>
    <row r="99" spans="1:13" s="4" customFormat="1" ht="13.5" hidden="1" thickBot="1" x14ac:dyDescent="0.25">
      <c r="A99" s="627">
        <v>89</v>
      </c>
      <c r="B99" s="121" t="s">
        <v>159</v>
      </c>
      <c r="C99" s="41"/>
      <c r="D99" s="117"/>
      <c r="E99" s="117"/>
      <c r="F99" s="83">
        <f t="shared" si="7"/>
        <v>0</v>
      </c>
      <c r="G99" s="103"/>
      <c r="H99" s="103"/>
      <c r="I99" s="103"/>
      <c r="J99" s="103"/>
      <c r="K99" s="118"/>
      <c r="L99" s="103"/>
      <c r="M99" s="105"/>
    </row>
    <row r="100" spans="1:13" s="4" customFormat="1" ht="13.5" hidden="1" thickBot="1" x14ac:dyDescent="0.25">
      <c r="A100" s="634">
        <v>90</v>
      </c>
      <c r="B100" s="122" t="s">
        <v>160</v>
      </c>
      <c r="C100" s="41"/>
      <c r="D100" s="117"/>
      <c r="E100" s="117"/>
      <c r="F100" s="83">
        <f t="shared" si="7"/>
        <v>0</v>
      </c>
      <c r="G100" s="103"/>
      <c r="H100" s="103"/>
      <c r="I100" s="103"/>
      <c r="J100" s="103"/>
      <c r="K100" s="118"/>
      <c r="L100" s="103"/>
      <c r="M100" s="105"/>
    </row>
    <row r="101" spans="1:13" s="4" customFormat="1" ht="13.5" hidden="1" thickBot="1" x14ac:dyDescent="0.25">
      <c r="A101" s="627">
        <v>91</v>
      </c>
      <c r="B101" s="122" t="s">
        <v>161</v>
      </c>
      <c r="C101" s="41"/>
      <c r="D101" s="117"/>
      <c r="E101" s="117"/>
      <c r="F101" s="83">
        <f t="shared" si="7"/>
        <v>0</v>
      </c>
      <c r="G101" s="103"/>
      <c r="H101" s="103"/>
      <c r="I101" s="103"/>
      <c r="J101" s="103"/>
      <c r="K101" s="104"/>
      <c r="L101" s="103"/>
      <c r="M101" s="105"/>
    </row>
    <row r="102" spans="1:13" s="4" customFormat="1" ht="13.5" hidden="1" thickBot="1" x14ac:dyDescent="0.25">
      <c r="A102" s="634">
        <v>92</v>
      </c>
      <c r="B102" s="4" t="s">
        <v>162</v>
      </c>
      <c r="C102" s="41"/>
      <c r="D102" s="117"/>
      <c r="E102" s="117"/>
      <c r="F102" s="83">
        <f t="shared" si="7"/>
        <v>0</v>
      </c>
      <c r="G102" s="103"/>
      <c r="H102" s="103"/>
      <c r="I102" s="103"/>
      <c r="J102" s="103"/>
      <c r="K102" s="104"/>
      <c r="L102" s="103"/>
      <c r="M102" s="105"/>
    </row>
    <row r="103" spans="1:13" s="4" customFormat="1" ht="13.5" hidden="1" thickBot="1" x14ac:dyDescent="0.25">
      <c r="A103" s="627">
        <v>93</v>
      </c>
      <c r="B103" s="122" t="s">
        <v>163</v>
      </c>
      <c r="C103" s="41"/>
      <c r="D103" s="117"/>
      <c r="E103" s="117"/>
      <c r="F103" s="83">
        <f t="shared" si="7"/>
        <v>0</v>
      </c>
      <c r="G103" s="103"/>
      <c r="H103" s="103"/>
      <c r="I103" s="103"/>
      <c r="J103" s="103"/>
      <c r="K103" s="104"/>
      <c r="L103" s="103"/>
      <c r="M103" s="105"/>
    </row>
    <row r="104" spans="1:13" s="4" customFormat="1" ht="13.5" hidden="1" thickBot="1" x14ac:dyDescent="0.25">
      <c r="A104" s="634">
        <v>94</v>
      </c>
      <c r="B104" s="122" t="s">
        <v>164</v>
      </c>
      <c r="C104" s="41"/>
      <c r="D104" s="117"/>
      <c r="E104" s="117"/>
      <c r="F104" s="83">
        <f t="shared" si="7"/>
        <v>0</v>
      </c>
      <c r="G104" s="103"/>
      <c r="H104" s="103"/>
      <c r="I104" s="103"/>
      <c r="J104" s="103"/>
      <c r="K104" s="104"/>
      <c r="L104" s="103"/>
      <c r="M104" s="105"/>
    </row>
    <row r="105" spans="1:13" s="4" customFormat="1" ht="13.5" hidden="1" thickBot="1" x14ac:dyDescent="0.25">
      <c r="A105" s="627">
        <v>95</v>
      </c>
      <c r="B105" s="122"/>
      <c r="C105" s="41"/>
      <c r="D105" s="117"/>
      <c r="E105" s="117"/>
      <c r="F105" s="83">
        <f t="shared" si="7"/>
        <v>0</v>
      </c>
      <c r="G105" s="103"/>
      <c r="H105" s="103"/>
      <c r="I105" s="103"/>
      <c r="J105" s="103"/>
      <c r="K105" s="104"/>
      <c r="L105" s="103"/>
      <c r="M105" s="105"/>
    </row>
    <row r="106" spans="1:13" s="4" customFormat="1" ht="13.5" hidden="1" thickBot="1" x14ac:dyDescent="0.25">
      <c r="A106" s="634">
        <v>96</v>
      </c>
      <c r="B106" s="123" t="s">
        <v>165</v>
      </c>
      <c r="C106" s="56" t="s">
        <v>166</v>
      </c>
      <c r="D106" s="114"/>
      <c r="E106" s="114"/>
      <c r="F106" s="83">
        <f t="shared" si="7"/>
        <v>0</v>
      </c>
      <c r="G106" s="103">
        <f>G107+G108+G109+G110</f>
        <v>0</v>
      </c>
      <c r="H106" s="103">
        <f>H107+H108+H109+H110</f>
        <v>0</v>
      </c>
      <c r="I106" s="103">
        <f>I107+I108+I109+I110</f>
        <v>0</v>
      </c>
      <c r="J106" s="103">
        <f>J107+J108+J109+J110</f>
        <v>0</v>
      </c>
      <c r="K106" s="104"/>
      <c r="L106" s="103"/>
      <c r="M106" s="105"/>
    </row>
    <row r="107" spans="1:13" s="4" customFormat="1" ht="13.5" hidden="1" thickBot="1" x14ac:dyDescent="0.25">
      <c r="A107" s="627">
        <v>97</v>
      </c>
      <c r="B107" s="124" t="s">
        <v>167</v>
      </c>
      <c r="C107" s="41"/>
      <c r="D107" s="117"/>
      <c r="E107" s="117"/>
      <c r="F107" s="83">
        <f t="shared" si="7"/>
        <v>0</v>
      </c>
      <c r="G107" s="103"/>
      <c r="H107" s="103"/>
      <c r="I107" s="103"/>
      <c r="J107" s="103"/>
      <c r="K107" s="118"/>
      <c r="L107" s="103"/>
      <c r="M107" s="105"/>
    </row>
    <row r="108" spans="1:13" s="4" customFormat="1" ht="13.5" hidden="1" thickBot="1" x14ac:dyDescent="0.25">
      <c r="A108" s="634">
        <v>98</v>
      </c>
      <c r="B108" s="125" t="s">
        <v>168</v>
      </c>
      <c r="C108" s="41"/>
      <c r="D108" s="117"/>
      <c r="E108" s="117"/>
      <c r="F108" s="83">
        <f t="shared" si="7"/>
        <v>0</v>
      </c>
      <c r="G108" s="103"/>
      <c r="H108" s="103"/>
      <c r="I108" s="103"/>
      <c r="J108" s="103"/>
      <c r="K108" s="118"/>
      <c r="L108" s="103"/>
      <c r="M108" s="105"/>
    </row>
    <row r="109" spans="1:13" s="4" customFormat="1" ht="13.5" hidden="1" thickBot="1" x14ac:dyDescent="0.25">
      <c r="A109" s="627">
        <v>99</v>
      </c>
      <c r="B109" s="116" t="s">
        <v>169</v>
      </c>
      <c r="C109" s="41"/>
      <c r="D109" s="117"/>
      <c r="E109" s="117"/>
      <c r="F109" s="83">
        <f t="shared" si="7"/>
        <v>0</v>
      </c>
      <c r="G109" s="103"/>
      <c r="H109" s="103"/>
      <c r="I109" s="103"/>
      <c r="J109" s="103"/>
      <c r="K109" s="118"/>
      <c r="L109" s="103"/>
      <c r="M109" s="105"/>
    </row>
    <row r="110" spans="1:13" s="4" customFormat="1" ht="13.5" hidden="1" thickBot="1" x14ac:dyDescent="0.25">
      <c r="A110" s="634">
        <v>100</v>
      </c>
      <c r="B110" s="116" t="s">
        <v>170</v>
      </c>
      <c r="C110" s="41"/>
      <c r="D110" s="117"/>
      <c r="E110" s="117"/>
      <c r="F110" s="83">
        <f t="shared" si="7"/>
        <v>0</v>
      </c>
      <c r="G110" s="103"/>
      <c r="H110" s="103"/>
      <c r="I110" s="103"/>
      <c r="J110" s="103"/>
      <c r="K110" s="104"/>
      <c r="L110" s="103"/>
      <c r="M110" s="105"/>
    </row>
    <row r="111" spans="1:13" s="4" customFormat="1" ht="26.25" hidden="1" thickBot="1" x14ac:dyDescent="0.25">
      <c r="A111" s="627">
        <v>101</v>
      </c>
      <c r="B111" s="126" t="s">
        <v>171</v>
      </c>
      <c r="C111" s="101" t="s">
        <v>172</v>
      </c>
      <c r="D111" s="102"/>
      <c r="E111" s="102"/>
      <c r="F111" s="83">
        <f t="shared" si="7"/>
        <v>0</v>
      </c>
      <c r="G111" s="43">
        <f>G116</f>
        <v>0</v>
      </c>
      <c r="H111" s="43">
        <f>H116</f>
        <v>0</v>
      </c>
      <c r="I111" s="43">
        <f>I116</f>
        <v>0</v>
      </c>
      <c r="J111" s="43">
        <f>J116</f>
        <v>0</v>
      </c>
      <c r="K111" s="104"/>
      <c r="L111" s="103"/>
      <c r="M111" s="105"/>
    </row>
    <row r="112" spans="1:13" s="4" customFormat="1" ht="13.5" hidden="1" thickBot="1" x14ac:dyDescent="0.25">
      <c r="A112" s="634">
        <v>102</v>
      </c>
      <c r="B112" s="4" t="s">
        <v>127</v>
      </c>
      <c r="C112" s="56" t="s">
        <v>173</v>
      </c>
      <c r="D112" s="114"/>
      <c r="E112" s="114"/>
      <c r="F112" s="83">
        <f t="shared" si="7"/>
        <v>0</v>
      </c>
      <c r="G112" s="43"/>
      <c r="H112" s="43"/>
      <c r="I112" s="43"/>
      <c r="J112" s="43"/>
      <c r="K112" s="118"/>
      <c r="L112" s="103"/>
      <c r="M112" s="105"/>
    </row>
    <row r="113" spans="1:13" s="4" customFormat="1" ht="13.5" hidden="1" thickBot="1" x14ac:dyDescent="0.25">
      <c r="A113" s="627">
        <v>103</v>
      </c>
      <c r="B113" s="73" t="s">
        <v>174</v>
      </c>
      <c r="C113" s="56"/>
      <c r="D113" s="114"/>
      <c r="E113" s="114"/>
      <c r="F113" s="83">
        <f t="shared" si="7"/>
        <v>0</v>
      </c>
      <c r="G113" s="43"/>
      <c r="H113" s="43"/>
      <c r="I113" s="43"/>
      <c r="J113" s="43"/>
      <c r="K113" s="118"/>
      <c r="L113" s="103"/>
      <c r="M113" s="105"/>
    </row>
    <row r="114" spans="1:13" s="4" customFormat="1" ht="13.5" hidden="1" thickBot="1" x14ac:dyDescent="0.25">
      <c r="A114" s="634">
        <v>104</v>
      </c>
      <c r="B114" s="73" t="s">
        <v>175</v>
      </c>
      <c r="C114" s="56"/>
      <c r="D114" s="114"/>
      <c r="E114" s="114"/>
      <c r="F114" s="83">
        <f t="shared" si="7"/>
        <v>0</v>
      </c>
      <c r="G114" s="43"/>
      <c r="H114" s="43"/>
      <c r="I114" s="43"/>
      <c r="J114" s="43"/>
      <c r="K114" s="118"/>
      <c r="L114" s="103"/>
      <c r="M114" s="105"/>
    </row>
    <row r="115" spans="1:13" s="4" customFormat="1" ht="13.5" hidden="1" thickBot="1" x14ac:dyDescent="0.25">
      <c r="A115" s="627">
        <v>105</v>
      </c>
      <c r="B115" s="73" t="s">
        <v>176</v>
      </c>
      <c r="C115" s="56" t="s">
        <v>177</v>
      </c>
      <c r="D115" s="114"/>
      <c r="E115" s="114"/>
      <c r="F115" s="83">
        <f t="shared" si="7"/>
        <v>0</v>
      </c>
      <c r="G115" s="43"/>
      <c r="H115" s="43"/>
      <c r="I115" s="43"/>
      <c r="J115" s="43"/>
      <c r="K115" s="118"/>
      <c r="L115" s="103"/>
      <c r="M115" s="105"/>
    </row>
    <row r="116" spans="1:13" s="4" customFormat="1" ht="26.25" hidden="1" thickBot="1" x14ac:dyDescent="0.25">
      <c r="A116" s="634">
        <v>106</v>
      </c>
      <c r="B116" s="127" t="s">
        <v>178</v>
      </c>
      <c r="C116" s="128" t="s">
        <v>179</v>
      </c>
      <c r="D116" s="129"/>
      <c r="E116" s="129"/>
      <c r="F116" s="83">
        <f t="shared" si="7"/>
        <v>0</v>
      </c>
      <c r="G116" s="130">
        <v>0</v>
      </c>
      <c r="H116" s="130">
        <f>5-5</f>
        <v>0</v>
      </c>
      <c r="I116" s="130">
        <f>2-2</f>
        <v>0</v>
      </c>
      <c r="J116" s="130">
        <v>0</v>
      </c>
      <c r="K116" s="131"/>
      <c r="L116" s="132"/>
      <c r="M116" s="133"/>
    </row>
    <row r="117" spans="1:13" s="135" customFormat="1" ht="13.5" hidden="1" thickBot="1" x14ac:dyDescent="0.25">
      <c r="A117" s="627">
        <v>107</v>
      </c>
      <c r="B117" s="24" t="s">
        <v>180</v>
      </c>
      <c r="C117" s="25"/>
      <c r="D117" s="134"/>
      <c r="E117" s="134"/>
      <c r="F117" s="83">
        <f t="shared" si="7"/>
        <v>0</v>
      </c>
      <c r="G117" s="97">
        <f>G131</f>
        <v>0</v>
      </c>
      <c r="H117" s="97">
        <f>H131</f>
        <v>0</v>
      </c>
      <c r="I117" s="97">
        <f>I131</f>
        <v>0</v>
      </c>
      <c r="J117" s="97">
        <f>J131</f>
        <v>0</v>
      </c>
      <c r="K117" s="98"/>
      <c r="L117" s="97"/>
      <c r="M117" s="99"/>
    </row>
    <row r="118" spans="1:13" s="4" customFormat="1" ht="26.25" hidden="1" thickBot="1" x14ac:dyDescent="0.25">
      <c r="A118" s="634">
        <v>108</v>
      </c>
      <c r="B118" s="126" t="s">
        <v>181</v>
      </c>
      <c r="C118" s="136" t="s">
        <v>182</v>
      </c>
      <c r="D118" s="137"/>
      <c r="E118" s="137"/>
      <c r="F118" s="83">
        <f t="shared" si="7"/>
        <v>0</v>
      </c>
      <c r="G118" s="103"/>
      <c r="H118" s="103"/>
      <c r="I118" s="103"/>
      <c r="J118" s="103"/>
      <c r="K118" s="118"/>
      <c r="L118" s="103"/>
      <c r="M118" s="105"/>
    </row>
    <row r="119" spans="1:13" s="4" customFormat="1" ht="13.5" hidden="1" thickBot="1" x14ac:dyDescent="0.25">
      <c r="A119" s="627">
        <v>109</v>
      </c>
      <c r="B119" s="55" t="s">
        <v>183</v>
      </c>
      <c r="C119" s="56" t="s">
        <v>184</v>
      </c>
      <c r="D119" s="114"/>
      <c r="E119" s="114"/>
      <c r="F119" s="83">
        <f t="shared" si="7"/>
        <v>0</v>
      </c>
      <c r="G119" s="103"/>
      <c r="H119" s="103"/>
      <c r="I119" s="103"/>
      <c r="J119" s="103"/>
      <c r="K119" s="118"/>
      <c r="L119" s="103"/>
      <c r="M119" s="105"/>
    </row>
    <row r="120" spans="1:13" s="139" customFormat="1" ht="13.5" hidden="1" thickBot="1" x14ac:dyDescent="0.25">
      <c r="A120" s="634">
        <v>110</v>
      </c>
      <c r="B120" s="138" t="s">
        <v>185</v>
      </c>
      <c r="C120" s="41" t="s">
        <v>186</v>
      </c>
      <c r="D120" s="117"/>
      <c r="E120" s="117"/>
      <c r="F120" s="83">
        <f t="shared" si="7"/>
        <v>0</v>
      </c>
      <c r="G120" s="103"/>
      <c r="H120" s="103"/>
      <c r="I120" s="103"/>
      <c r="J120" s="103"/>
      <c r="K120" s="118"/>
      <c r="L120" s="103"/>
      <c r="M120" s="105"/>
    </row>
    <row r="121" spans="1:13" s="139" customFormat="1" ht="13.5" hidden="1" thickBot="1" x14ac:dyDescent="0.25">
      <c r="A121" s="627">
        <v>111</v>
      </c>
      <c r="B121" s="138" t="s">
        <v>187</v>
      </c>
      <c r="C121" s="56" t="s">
        <v>188</v>
      </c>
      <c r="D121" s="117"/>
      <c r="E121" s="117"/>
      <c r="F121" s="83">
        <f t="shared" si="7"/>
        <v>0</v>
      </c>
      <c r="G121" s="103"/>
      <c r="H121" s="103"/>
      <c r="I121" s="103"/>
      <c r="J121" s="103"/>
      <c r="K121" s="104"/>
      <c r="L121" s="103"/>
      <c r="M121" s="105"/>
    </row>
    <row r="122" spans="1:13" s="139" customFormat="1" ht="13.5" hidden="1" thickBot="1" x14ac:dyDescent="0.25">
      <c r="A122" s="634">
        <v>112</v>
      </c>
      <c r="B122" s="138" t="s">
        <v>189</v>
      </c>
      <c r="C122" s="56" t="s">
        <v>190</v>
      </c>
      <c r="D122" s="117"/>
      <c r="E122" s="117"/>
      <c r="F122" s="83">
        <f t="shared" si="7"/>
        <v>0</v>
      </c>
      <c r="G122" s="103"/>
      <c r="H122" s="103"/>
      <c r="I122" s="103"/>
      <c r="J122" s="103"/>
      <c r="K122" s="104"/>
      <c r="L122" s="103"/>
      <c r="M122" s="105"/>
    </row>
    <row r="123" spans="1:13" s="139" customFormat="1" ht="13.5" hidden="1" thickBot="1" x14ac:dyDescent="0.25">
      <c r="A123" s="627">
        <v>113</v>
      </c>
      <c r="B123" s="138" t="s">
        <v>191</v>
      </c>
      <c r="C123" s="41" t="s">
        <v>192</v>
      </c>
      <c r="D123" s="117"/>
      <c r="E123" s="117"/>
      <c r="F123" s="83">
        <f t="shared" si="7"/>
        <v>0</v>
      </c>
      <c r="G123" s="103"/>
      <c r="H123" s="103"/>
      <c r="I123" s="103"/>
      <c r="J123" s="103"/>
      <c r="K123" s="104"/>
      <c r="L123" s="103"/>
      <c r="M123" s="105"/>
    </row>
    <row r="124" spans="1:13" s="139" customFormat="1" ht="13.5" hidden="1" thickBot="1" x14ac:dyDescent="0.25">
      <c r="A124" s="634">
        <v>114</v>
      </c>
      <c r="B124" s="138" t="s">
        <v>193</v>
      </c>
      <c r="C124" s="56" t="s">
        <v>194</v>
      </c>
      <c r="D124" s="117"/>
      <c r="E124" s="117"/>
      <c r="F124" s="83">
        <f t="shared" si="7"/>
        <v>0</v>
      </c>
      <c r="G124" s="103"/>
      <c r="H124" s="103"/>
      <c r="I124" s="103"/>
      <c r="J124" s="103"/>
      <c r="K124" s="104"/>
      <c r="L124" s="103"/>
      <c r="M124" s="105"/>
    </row>
    <row r="125" spans="1:13" s="139" customFormat="1" ht="13.5" hidden="1" thickBot="1" x14ac:dyDescent="0.25">
      <c r="A125" s="627">
        <v>115</v>
      </c>
      <c r="B125" s="138" t="s">
        <v>195</v>
      </c>
      <c r="C125" s="41" t="s">
        <v>196</v>
      </c>
      <c r="D125" s="117"/>
      <c r="E125" s="117"/>
      <c r="F125" s="83">
        <f t="shared" si="7"/>
        <v>0</v>
      </c>
      <c r="G125" s="103"/>
      <c r="H125" s="103"/>
      <c r="I125" s="103"/>
      <c r="J125" s="103"/>
      <c r="K125" s="104"/>
      <c r="L125" s="103"/>
      <c r="M125" s="105"/>
    </row>
    <row r="126" spans="1:13" s="139" customFormat="1" ht="13.5" hidden="1" thickBot="1" x14ac:dyDescent="0.25">
      <c r="A126" s="634">
        <v>116</v>
      </c>
      <c r="B126" s="138" t="s">
        <v>191</v>
      </c>
      <c r="C126" s="41" t="s">
        <v>197</v>
      </c>
      <c r="D126" s="117"/>
      <c r="E126" s="117"/>
      <c r="F126" s="83">
        <f t="shared" si="7"/>
        <v>0</v>
      </c>
      <c r="G126" s="103"/>
      <c r="H126" s="103"/>
      <c r="I126" s="103"/>
      <c r="J126" s="103"/>
      <c r="K126" s="104"/>
      <c r="L126" s="103"/>
      <c r="M126" s="105"/>
    </row>
    <row r="127" spans="1:13" s="139" customFormat="1" ht="13.5" hidden="1" thickBot="1" x14ac:dyDescent="0.25">
      <c r="A127" s="627">
        <v>117</v>
      </c>
      <c r="B127" s="138" t="s">
        <v>198</v>
      </c>
      <c r="C127" s="56" t="s">
        <v>199</v>
      </c>
      <c r="D127" s="117"/>
      <c r="E127" s="117"/>
      <c r="F127" s="83">
        <f t="shared" si="7"/>
        <v>0</v>
      </c>
      <c r="G127" s="103"/>
      <c r="H127" s="103"/>
      <c r="I127" s="103"/>
      <c r="J127" s="103"/>
      <c r="K127" s="104"/>
      <c r="L127" s="103"/>
      <c r="M127" s="105"/>
    </row>
    <row r="128" spans="1:13" s="139" customFormat="1" ht="13.5" hidden="1" thickBot="1" x14ac:dyDescent="0.25">
      <c r="A128" s="634">
        <v>118</v>
      </c>
      <c r="B128" s="138" t="s">
        <v>200</v>
      </c>
      <c r="C128" s="41" t="s">
        <v>201</v>
      </c>
      <c r="D128" s="117"/>
      <c r="E128" s="117"/>
      <c r="F128" s="83">
        <f t="shared" si="7"/>
        <v>0</v>
      </c>
      <c r="G128" s="103"/>
      <c r="H128" s="103"/>
      <c r="I128" s="103"/>
      <c r="J128" s="103"/>
      <c r="K128" s="104"/>
      <c r="L128" s="103"/>
      <c r="M128" s="105"/>
    </row>
    <row r="129" spans="1:15" s="139" customFormat="1" ht="13.5" hidden="1" thickBot="1" x14ac:dyDescent="0.25">
      <c r="A129" s="627">
        <v>119</v>
      </c>
      <c r="B129" s="138" t="s">
        <v>202</v>
      </c>
      <c r="C129" s="41" t="s">
        <v>203</v>
      </c>
      <c r="D129" s="117"/>
      <c r="E129" s="117"/>
      <c r="F129" s="83">
        <f t="shared" si="7"/>
        <v>0</v>
      </c>
      <c r="G129" s="103"/>
      <c r="H129" s="103"/>
      <c r="I129" s="103"/>
      <c r="J129" s="103"/>
      <c r="K129" s="104"/>
      <c r="L129" s="103"/>
      <c r="M129" s="105"/>
    </row>
    <row r="130" spans="1:15" s="139" customFormat="1" ht="13.5" hidden="1" thickBot="1" x14ac:dyDescent="0.25">
      <c r="A130" s="634">
        <v>120</v>
      </c>
      <c r="B130" s="138" t="s">
        <v>204</v>
      </c>
      <c r="C130" s="41" t="s">
        <v>205</v>
      </c>
      <c r="D130" s="117"/>
      <c r="E130" s="117"/>
      <c r="F130" s="83">
        <f t="shared" si="7"/>
        <v>0</v>
      </c>
      <c r="G130" s="103"/>
      <c r="H130" s="103"/>
      <c r="I130" s="103"/>
      <c r="J130" s="103"/>
      <c r="K130" s="104"/>
      <c r="L130" s="103"/>
      <c r="M130" s="105"/>
    </row>
    <row r="131" spans="1:15" s="4" customFormat="1" ht="13.5" hidden="1" thickBot="1" x14ac:dyDescent="0.25">
      <c r="A131" s="627">
        <v>121</v>
      </c>
      <c r="B131" s="140" t="s">
        <v>206</v>
      </c>
      <c r="C131" s="56" t="s">
        <v>207</v>
      </c>
      <c r="D131" s="114"/>
      <c r="E131" s="114"/>
      <c r="F131" s="83">
        <f t="shared" si="7"/>
        <v>0</v>
      </c>
      <c r="G131" s="103">
        <f t="shared" ref="G131:J132" si="8">G132</f>
        <v>0</v>
      </c>
      <c r="H131" s="103">
        <f t="shared" si="8"/>
        <v>0</v>
      </c>
      <c r="I131" s="103">
        <f t="shared" si="8"/>
        <v>0</v>
      </c>
      <c r="J131" s="103">
        <f t="shared" si="8"/>
        <v>0</v>
      </c>
      <c r="K131" s="104"/>
      <c r="L131" s="103"/>
      <c r="M131" s="105"/>
    </row>
    <row r="132" spans="1:15" s="4" customFormat="1" ht="13.5" hidden="1" thickBot="1" x14ac:dyDescent="0.25">
      <c r="A132" s="634">
        <v>122</v>
      </c>
      <c r="B132" s="55" t="s">
        <v>208</v>
      </c>
      <c r="C132" s="75">
        <v>71</v>
      </c>
      <c r="D132" s="141"/>
      <c r="E132" s="141"/>
      <c r="F132" s="83">
        <f t="shared" si="7"/>
        <v>0</v>
      </c>
      <c r="G132" s="103">
        <f t="shared" si="8"/>
        <v>0</v>
      </c>
      <c r="H132" s="103">
        <f t="shared" si="8"/>
        <v>0</v>
      </c>
      <c r="I132" s="103">
        <f t="shared" si="8"/>
        <v>0</v>
      </c>
      <c r="J132" s="103">
        <f t="shared" si="8"/>
        <v>0</v>
      </c>
      <c r="K132" s="104"/>
      <c r="L132" s="103"/>
      <c r="M132" s="105"/>
    </row>
    <row r="133" spans="1:15" s="4" customFormat="1" ht="13.5" hidden="1" thickBot="1" x14ac:dyDescent="0.25">
      <c r="A133" s="627">
        <v>123</v>
      </c>
      <c r="B133" s="55" t="s">
        <v>209</v>
      </c>
      <c r="C133" s="75" t="s">
        <v>210</v>
      </c>
      <c r="D133" s="141"/>
      <c r="E133" s="141"/>
      <c r="F133" s="83">
        <f t="shared" si="7"/>
        <v>0</v>
      </c>
      <c r="G133" s="103">
        <f>G134+G135+G137+G138</f>
        <v>0</v>
      </c>
      <c r="H133" s="103">
        <f>H134+H135+H137+H138</f>
        <v>0</v>
      </c>
      <c r="I133" s="103">
        <f>I134+I135+I137+I138</f>
        <v>0</v>
      </c>
      <c r="J133" s="103">
        <f>J134+J135+J137+J138</f>
        <v>0</v>
      </c>
      <c r="K133" s="104"/>
      <c r="L133" s="103"/>
      <c r="M133" s="105"/>
    </row>
    <row r="134" spans="1:15" s="4" customFormat="1" ht="13.5" hidden="1" thickBot="1" x14ac:dyDescent="0.25">
      <c r="A134" s="634">
        <v>124</v>
      </c>
      <c r="B134" s="59" t="s">
        <v>211</v>
      </c>
      <c r="C134" s="142" t="s">
        <v>212</v>
      </c>
      <c r="D134" s="143"/>
      <c r="E134" s="143"/>
      <c r="F134" s="83">
        <f t="shared" si="7"/>
        <v>0</v>
      </c>
      <c r="G134" s="103"/>
      <c r="H134" s="103"/>
      <c r="I134" s="103"/>
      <c r="J134" s="103"/>
      <c r="K134" s="118"/>
      <c r="L134" s="103"/>
      <c r="M134" s="105"/>
    </row>
    <row r="135" spans="1:15" s="4" customFormat="1" ht="13.5" hidden="1" thickBot="1" x14ac:dyDescent="0.25">
      <c r="A135" s="627">
        <v>125</v>
      </c>
      <c r="B135" s="74" t="s">
        <v>213</v>
      </c>
      <c r="C135" s="142" t="s">
        <v>214</v>
      </c>
      <c r="D135" s="143"/>
      <c r="E135" s="143"/>
      <c r="F135" s="83">
        <f t="shared" si="7"/>
        <v>0</v>
      </c>
      <c r="G135" s="103"/>
      <c r="H135" s="103"/>
      <c r="I135" s="103"/>
      <c r="J135" s="103"/>
      <c r="K135" s="118"/>
      <c r="L135" s="103"/>
      <c r="M135" s="105"/>
    </row>
    <row r="136" spans="1:15" s="4" customFormat="1" ht="13.5" hidden="1" thickBot="1" x14ac:dyDescent="0.25">
      <c r="A136" s="634">
        <v>126</v>
      </c>
      <c r="B136" s="74" t="s">
        <v>215</v>
      </c>
      <c r="C136" s="142" t="s">
        <v>214</v>
      </c>
      <c r="D136" s="143"/>
      <c r="E136" s="143"/>
      <c r="F136" s="83">
        <f t="shared" si="7"/>
        <v>0</v>
      </c>
      <c r="G136" s="103"/>
      <c r="H136" s="103"/>
      <c r="I136" s="103"/>
      <c r="J136" s="103"/>
      <c r="K136" s="118"/>
      <c r="L136" s="103"/>
      <c r="M136" s="105"/>
    </row>
    <row r="137" spans="1:15" s="4" customFormat="1" ht="13.5" hidden="1" thickBot="1" x14ac:dyDescent="0.25">
      <c r="A137" s="627">
        <v>127</v>
      </c>
      <c r="B137" s="40" t="s">
        <v>216</v>
      </c>
      <c r="C137" s="142" t="s">
        <v>217</v>
      </c>
      <c r="D137" s="143"/>
      <c r="E137" s="143"/>
      <c r="F137" s="83">
        <f t="shared" si="7"/>
        <v>0</v>
      </c>
      <c r="G137" s="103"/>
      <c r="H137" s="103"/>
      <c r="I137" s="103"/>
      <c r="J137" s="103"/>
      <c r="K137" s="118"/>
      <c r="L137" s="103"/>
      <c r="M137" s="105"/>
    </row>
    <row r="138" spans="1:15" s="4" customFormat="1" ht="13.5" hidden="1" thickBot="1" x14ac:dyDescent="0.25">
      <c r="A138" s="634">
        <v>128</v>
      </c>
      <c r="B138" s="144" t="s">
        <v>218</v>
      </c>
      <c r="C138" s="145" t="s">
        <v>219</v>
      </c>
      <c r="D138" s="146"/>
      <c r="E138" s="145"/>
      <c r="F138" s="83">
        <f t="shared" si="7"/>
        <v>0</v>
      </c>
      <c r="G138" s="147"/>
      <c r="H138" s="147"/>
      <c r="I138" s="147"/>
      <c r="J138" s="147"/>
      <c r="K138" s="148"/>
      <c r="L138" s="147"/>
      <c r="M138" s="149"/>
    </row>
    <row r="139" spans="1:15" x14ac:dyDescent="0.2">
      <c r="F139" s="150"/>
      <c r="G139" s="150"/>
      <c r="H139" s="150"/>
      <c r="I139" s="150"/>
      <c r="J139" s="150"/>
      <c r="K139" s="150"/>
      <c r="L139" s="150"/>
      <c r="M139" s="150"/>
    </row>
    <row r="140" spans="1:15" s="4" customFormat="1" x14ac:dyDescent="0.2">
      <c r="B140" s="151" t="s">
        <v>220</v>
      </c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</row>
    <row r="141" spans="1:15" s="4" customFormat="1" ht="12.75" customHeight="1" x14ac:dyDescent="0.2">
      <c r="B141" s="151" t="s">
        <v>221</v>
      </c>
      <c r="C141" s="1107" t="s">
        <v>222</v>
      </c>
      <c r="D141" s="1107"/>
      <c r="E141" s="1107"/>
      <c r="F141" s="1107"/>
      <c r="G141" s="152" t="s">
        <v>390</v>
      </c>
      <c r="I141" s="154"/>
      <c r="J141" s="152" t="s">
        <v>224</v>
      </c>
      <c r="N141" s="6"/>
      <c r="O141" s="6"/>
    </row>
    <row r="142" spans="1:15" s="4" customFormat="1" ht="12.75" customHeight="1" x14ac:dyDescent="0.2">
      <c r="B142" s="155" t="s">
        <v>225</v>
      </c>
      <c r="C142" s="1108" t="s">
        <v>392</v>
      </c>
      <c r="D142" s="1108"/>
      <c r="E142" s="1108"/>
      <c r="F142" s="1108"/>
      <c r="G142" s="152" t="s">
        <v>227</v>
      </c>
      <c r="I142" s="156"/>
      <c r="J142" s="1109" t="s">
        <v>388</v>
      </c>
      <c r="K142" s="1109"/>
      <c r="L142" s="1109"/>
      <c r="M142" s="1109"/>
      <c r="N142" s="156"/>
      <c r="O142" s="6"/>
    </row>
    <row r="143" spans="1:15" ht="12.75" customHeight="1" x14ac:dyDescent="0.2">
      <c r="J143" s="152" t="s">
        <v>389</v>
      </c>
      <c r="K143" s="4"/>
      <c r="L143" s="4"/>
      <c r="M143" s="4"/>
    </row>
    <row r="144" spans="1:15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selectLockedCells="1" selectUnlockedCells="1"/>
  <mergeCells count="11">
    <mergeCell ref="D9:D10"/>
    <mergeCell ref="E9:E10"/>
    <mergeCell ref="F9:F10"/>
    <mergeCell ref="G9:J9"/>
    <mergeCell ref="K9:M9"/>
    <mergeCell ref="B5:M5"/>
    <mergeCell ref="B6:M6"/>
    <mergeCell ref="A8:B8"/>
    <mergeCell ref="A9:A10"/>
    <mergeCell ref="B9:B10"/>
    <mergeCell ref="C9:C10"/>
  </mergeCells>
  <printOptions horizontalCentered="1"/>
  <pageMargins left="0.19652777777777777" right="0.19652777777777777" top="0.51180555555555551" bottom="0.39374999999999999" header="0.51180555555555551" footer="0.51180555555555551"/>
  <pageSetup scale="68" firstPageNumber="0" orientation="landscape" r:id="rId1"/>
  <headerFooter alignWithMargins="0"/>
  <rowBreaks count="1" manualBreakCount="1">
    <brk id="5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9025-377F-4C4D-AB1E-16FC7F105365}">
  <sheetPr>
    <pageSetUpPr fitToPage="1"/>
  </sheetPr>
  <dimension ref="A1:P169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4" width="8.7109375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B6" s="1119" t="s">
        <v>255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x14ac:dyDescent="0.2">
      <c r="B7" s="1133" t="s">
        <v>256</v>
      </c>
      <c r="C7" s="1133"/>
      <c r="D7" s="1133"/>
      <c r="E7" s="1133"/>
      <c r="F7" s="1133"/>
      <c r="G7" s="1133"/>
      <c r="H7" s="1133"/>
      <c r="I7" s="1133"/>
      <c r="J7" s="1133"/>
      <c r="K7" s="1133"/>
      <c r="L7" s="1133"/>
      <c r="M7" s="1133"/>
    </row>
    <row r="8" spans="1:14" ht="12.75" customHeight="1" x14ac:dyDescent="0.2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156" t="s">
        <v>6</v>
      </c>
      <c r="B9" s="1137" t="s">
        <v>7</v>
      </c>
      <c r="C9" s="1124" t="s">
        <v>8</v>
      </c>
      <c r="D9" s="1126" t="s">
        <v>9</v>
      </c>
      <c r="E9" s="1157" t="s">
        <v>10</v>
      </c>
      <c r="F9" s="1158" t="s">
        <v>11</v>
      </c>
      <c r="G9" s="1159" t="s">
        <v>12</v>
      </c>
      <c r="H9" s="1159"/>
      <c r="I9" s="1159"/>
      <c r="J9" s="1159"/>
      <c r="K9" s="1160" t="s">
        <v>13</v>
      </c>
      <c r="L9" s="1160"/>
      <c r="M9" s="1160"/>
    </row>
    <row r="10" spans="1:14" s="4" customFormat="1" ht="48" customHeight="1" x14ac:dyDescent="0.2">
      <c r="A10" s="1156"/>
      <c r="B10" s="1137"/>
      <c r="C10" s="1124"/>
      <c r="D10" s="1126"/>
      <c r="E10" s="1157"/>
      <c r="F10" s="1158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7">
        <f>D12</f>
        <v>0</v>
      </c>
      <c r="E11" s="317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21">
        <f t="shared" ref="K11:M12" si="0">K12</f>
        <v>0</v>
      </c>
      <c r="L11" s="22">
        <f t="shared" si="0"/>
        <v>0</v>
      </c>
      <c r="M11" s="246">
        <f t="shared" si="0"/>
        <v>0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">
        <f t="shared" si="0"/>
        <v>0</v>
      </c>
      <c r="L12" s="29">
        <f t="shared" si="0"/>
        <v>0</v>
      </c>
      <c r="M12" s="247">
        <f t="shared" si="0"/>
        <v>0</v>
      </c>
    </row>
    <row r="13" spans="1:14" s="4" customFormat="1" x14ac:dyDescent="0.2">
      <c r="A13" s="47">
        <v>3</v>
      </c>
      <c r="B13" s="157" t="s">
        <v>21</v>
      </c>
      <c r="C13" s="75" t="s">
        <v>22</v>
      </c>
      <c r="D13" s="53">
        <f>D14+D34</f>
        <v>0</v>
      </c>
      <c r="E13" s="53">
        <f>E14+E34</f>
        <v>0</v>
      </c>
      <c r="F13" s="43">
        <f>F14+F34+F92+F112</f>
        <v>0</v>
      </c>
      <c r="G13" s="43">
        <f>G14+G34+G92+G112</f>
        <v>0</v>
      </c>
      <c r="H13" s="43">
        <f>H14+H34+H92+H112</f>
        <v>0</v>
      </c>
      <c r="I13" s="43">
        <f>I14+I34+I92+I112</f>
        <v>0</v>
      </c>
      <c r="J13" s="43">
        <f>J14+J34+J92+J112</f>
        <v>0</v>
      </c>
      <c r="K13" s="57">
        <f>K14+K34</f>
        <v>0</v>
      </c>
      <c r="L13" s="58">
        <f>L14+L34</f>
        <v>0</v>
      </c>
      <c r="M13" s="318">
        <f>M14+M34</f>
        <v>0</v>
      </c>
    </row>
    <row r="14" spans="1:14" s="4" customFormat="1" x14ac:dyDescent="0.2">
      <c r="A14" s="47">
        <v>4</v>
      </c>
      <c r="B14" s="160" t="s">
        <v>23</v>
      </c>
      <c r="C14" s="161" t="s">
        <v>24</v>
      </c>
      <c r="D14" s="53">
        <f>D15+D26</f>
        <v>0</v>
      </c>
      <c r="E14" s="53">
        <f>E15+E26</f>
        <v>0</v>
      </c>
      <c r="F14" s="43">
        <f>F15+F23+F26</f>
        <v>0</v>
      </c>
      <c r="G14" s="43">
        <f>G15+G23+G26</f>
        <v>0</v>
      </c>
      <c r="H14" s="43">
        <f>H15+H23+H26</f>
        <v>0</v>
      </c>
      <c r="I14" s="43">
        <f>I15+I23+I26</f>
        <v>0</v>
      </c>
      <c r="J14" s="43">
        <f>J15+J23+J26</f>
        <v>0</v>
      </c>
      <c r="K14" s="57">
        <f>F14*103.7/100</f>
        <v>0</v>
      </c>
      <c r="L14" s="43">
        <f>K14*102.9/100</f>
        <v>0</v>
      </c>
      <c r="M14" s="248">
        <f>L14*102.6/100</f>
        <v>0</v>
      </c>
    </row>
    <row r="15" spans="1:14" s="4" customFormat="1" x14ac:dyDescent="0.2">
      <c r="A15" s="47">
        <v>5</v>
      </c>
      <c r="B15" s="55" t="s">
        <v>25</v>
      </c>
      <c r="C15" s="161" t="s">
        <v>26</v>
      </c>
      <c r="D15" s="53">
        <f>D16+D17+D18+D21</f>
        <v>0</v>
      </c>
      <c r="E15" s="53">
        <f>E16+E17+E21</f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57"/>
      <c r="L15" s="43"/>
      <c r="M15" s="248"/>
    </row>
    <row r="16" spans="1:14" s="4" customFormat="1" x14ac:dyDescent="0.2">
      <c r="A16" s="47">
        <v>6</v>
      </c>
      <c r="B16" s="40" t="s">
        <v>27</v>
      </c>
      <c r="C16" s="41" t="s">
        <v>28</v>
      </c>
      <c r="D16" s="42">
        <v>0</v>
      </c>
      <c r="E16" s="42">
        <v>0</v>
      </c>
      <c r="F16" s="44">
        <f t="shared" ref="F16:F21" si="1">G16+H16+I16+J16</f>
        <v>0</v>
      </c>
      <c r="G16" s="44">
        <v>0</v>
      </c>
      <c r="H16" s="44">
        <v>0</v>
      </c>
      <c r="I16" s="44">
        <v>0</v>
      </c>
      <c r="J16" s="44">
        <v>0</v>
      </c>
      <c r="K16" s="45"/>
      <c r="L16" s="44"/>
      <c r="M16" s="249"/>
    </row>
    <row r="17" spans="1:16" s="4" customFormat="1" x14ac:dyDescent="0.2">
      <c r="A17" s="47">
        <v>7</v>
      </c>
      <c r="B17" s="40" t="s">
        <v>29</v>
      </c>
      <c r="C17" s="41" t="s">
        <v>30</v>
      </c>
      <c r="D17" s="42">
        <v>0</v>
      </c>
      <c r="E17" s="42">
        <v>0</v>
      </c>
      <c r="F17" s="44">
        <f t="shared" si="1"/>
        <v>0</v>
      </c>
      <c r="G17" s="44">
        <v>0</v>
      </c>
      <c r="H17" s="44">
        <v>0</v>
      </c>
      <c r="I17" s="44">
        <v>0</v>
      </c>
      <c r="J17" s="44">
        <v>0</v>
      </c>
      <c r="K17" s="45"/>
      <c r="L17" s="44"/>
      <c r="M17" s="249"/>
      <c r="P17" s="48"/>
    </row>
    <row r="18" spans="1:16" s="4" customFormat="1" x14ac:dyDescent="0.2">
      <c r="A18" s="47">
        <v>8</v>
      </c>
      <c r="B18" s="40" t="s">
        <v>31</v>
      </c>
      <c r="C18" s="41" t="s">
        <v>32</v>
      </c>
      <c r="D18" s="42">
        <v>0</v>
      </c>
      <c r="E18" s="42">
        <v>0</v>
      </c>
      <c r="F18" s="44">
        <f t="shared" si="1"/>
        <v>0</v>
      </c>
      <c r="G18" s="44">
        <v>0</v>
      </c>
      <c r="H18" s="44">
        <v>0</v>
      </c>
      <c r="I18" s="44">
        <v>0</v>
      </c>
      <c r="J18" s="44">
        <v>0</v>
      </c>
      <c r="K18" s="45"/>
      <c r="L18" s="44"/>
      <c r="M18" s="249"/>
      <c r="P18" s="48"/>
    </row>
    <row r="19" spans="1:16" s="4" customFormat="1" x14ac:dyDescent="0.2">
      <c r="A19" s="47">
        <v>9</v>
      </c>
      <c r="B19" s="4" t="s">
        <v>33</v>
      </c>
      <c r="C19" s="49" t="s">
        <v>34</v>
      </c>
      <c r="D19" s="50"/>
      <c r="E19" s="50"/>
      <c r="F19" s="44">
        <f t="shared" si="1"/>
        <v>0</v>
      </c>
      <c r="G19" s="44"/>
      <c r="H19" s="44"/>
      <c r="I19" s="44"/>
      <c r="J19" s="44"/>
      <c r="K19" s="45"/>
      <c r="L19" s="44"/>
      <c r="M19" s="249"/>
      <c r="P19" s="48"/>
    </row>
    <row r="20" spans="1:16" s="4" customFormat="1" x14ac:dyDescent="0.2">
      <c r="A20" s="47">
        <v>10</v>
      </c>
      <c r="B20" s="40" t="s">
        <v>35</v>
      </c>
      <c r="C20" s="41" t="s">
        <v>36</v>
      </c>
      <c r="D20" s="42">
        <v>0</v>
      </c>
      <c r="E20" s="42">
        <v>0</v>
      </c>
      <c r="F20" s="44">
        <f t="shared" si="1"/>
        <v>0</v>
      </c>
      <c r="G20" s="44"/>
      <c r="H20" s="44"/>
      <c r="I20" s="44"/>
      <c r="J20" s="44"/>
      <c r="K20" s="45"/>
      <c r="L20" s="44"/>
      <c r="M20" s="249"/>
      <c r="P20" s="48"/>
    </row>
    <row r="21" spans="1:16" s="4" customFormat="1" x14ac:dyDescent="0.2">
      <c r="A21" s="47">
        <v>11</v>
      </c>
      <c r="B21" s="40" t="s">
        <v>37</v>
      </c>
      <c r="C21" s="41" t="s">
        <v>38</v>
      </c>
      <c r="D21" s="42">
        <v>0</v>
      </c>
      <c r="E21" s="42">
        <v>0</v>
      </c>
      <c r="F21" s="44">
        <f t="shared" si="1"/>
        <v>0</v>
      </c>
      <c r="G21" s="44">
        <v>0</v>
      </c>
      <c r="H21" s="44">
        <v>0</v>
      </c>
      <c r="I21" s="44">
        <v>0</v>
      </c>
      <c r="J21" s="44">
        <v>0</v>
      </c>
      <c r="K21" s="45"/>
      <c r="L21" s="44"/>
      <c r="M21" s="249"/>
      <c r="P21" s="48"/>
    </row>
    <row r="22" spans="1:16" s="4" customFormat="1" x14ac:dyDescent="0.2">
      <c r="A22" s="47"/>
      <c r="B22" s="40" t="s">
        <v>39</v>
      </c>
      <c r="C22" s="41" t="s">
        <v>40</v>
      </c>
      <c r="D22" s="42"/>
      <c r="E22" s="42"/>
      <c r="F22" s="44"/>
      <c r="G22" s="44"/>
      <c r="H22" s="44"/>
      <c r="I22" s="44"/>
      <c r="J22" s="44"/>
      <c r="K22" s="45"/>
      <c r="L22" s="44"/>
      <c r="M22" s="249"/>
      <c r="P22" s="48"/>
    </row>
    <row r="23" spans="1:16" s="4" customFormat="1" x14ac:dyDescent="0.2">
      <c r="A23" s="47">
        <v>12</v>
      </c>
      <c r="B23" s="40" t="s">
        <v>41</v>
      </c>
      <c r="C23" s="52" t="s">
        <v>42</v>
      </c>
      <c r="D23" s="53">
        <f t="shared" ref="D23:J23" si="2">D24</f>
        <v>0</v>
      </c>
      <c r="E23" s="53">
        <f t="shared" si="2"/>
        <v>0</v>
      </c>
      <c r="F23" s="43">
        <f t="shared" si="2"/>
        <v>0</v>
      </c>
      <c r="G23" s="43">
        <f t="shared" si="2"/>
        <v>0</v>
      </c>
      <c r="H23" s="43">
        <f t="shared" si="2"/>
        <v>0</v>
      </c>
      <c r="I23" s="43">
        <f t="shared" si="2"/>
        <v>0</v>
      </c>
      <c r="J23" s="43">
        <f t="shared" si="2"/>
        <v>0</v>
      </c>
      <c r="K23" s="45"/>
      <c r="L23" s="44"/>
      <c r="M23" s="249"/>
      <c r="P23" s="48"/>
    </row>
    <row r="24" spans="1:16" s="4" customFormat="1" x14ac:dyDescent="0.2">
      <c r="A24" s="47">
        <v>13</v>
      </c>
      <c r="B24" s="40" t="s">
        <v>43</v>
      </c>
      <c r="C24" s="54" t="s">
        <v>44</v>
      </c>
      <c r="D24" s="42">
        <v>0</v>
      </c>
      <c r="E24" s="42">
        <v>0</v>
      </c>
      <c r="F24" s="44">
        <f>G24+H24+I24+J24</f>
        <v>0</v>
      </c>
      <c r="G24" s="44">
        <v>0</v>
      </c>
      <c r="H24" s="44">
        <f>3-3</f>
        <v>0</v>
      </c>
      <c r="I24" s="44">
        <v>0</v>
      </c>
      <c r="J24" s="44">
        <v>0</v>
      </c>
      <c r="K24" s="45"/>
      <c r="L24" s="44"/>
      <c r="M24" s="249"/>
      <c r="P24" s="48"/>
    </row>
    <row r="25" spans="1:16" s="4" customFormat="1" x14ac:dyDescent="0.2">
      <c r="A25" s="47">
        <v>14</v>
      </c>
      <c r="B25" s="40" t="s">
        <v>230</v>
      </c>
      <c r="C25" s="54" t="s">
        <v>231</v>
      </c>
      <c r="D25" s="42">
        <v>0</v>
      </c>
      <c r="E25" s="42"/>
      <c r="F25" s="44"/>
      <c r="G25" s="44"/>
      <c r="H25" s="44"/>
      <c r="I25" s="44"/>
      <c r="J25" s="44"/>
      <c r="K25" s="45"/>
      <c r="L25" s="44"/>
      <c r="M25" s="249"/>
      <c r="P25" s="48"/>
    </row>
    <row r="26" spans="1:16" s="4" customFormat="1" x14ac:dyDescent="0.2">
      <c r="A26" s="47">
        <v>15</v>
      </c>
      <c r="B26" s="55" t="s">
        <v>45</v>
      </c>
      <c r="C26" s="56" t="s">
        <v>46</v>
      </c>
      <c r="D26" s="53">
        <f>D32</f>
        <v>0</v>
      </c>
      <c r="E26" s="53">
        <f>E32</f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57"/>
      <c r="L26" s="43"/>
      <c r="M26" s="248"/>
    </row>
    <row r="27" spans="1:16" s="4" customFormat="1" x14ac:dyDescent="0.2">
      <c r="A27" s="47">
        <v>16</v>
      </c>
      <c r="B27" s="59" t="s">
        <v>47</v>
      </c>
      <c r="C27" s="41" t="s">
        <v>48</v>
      </c>
      <c r="D27" s="42"/>
      <c r="E27" s="42"/>
      <c r="F27" s="44">
        <f>G27+H27+I27+J27</f>
        <v>0</v>
      </c>
      <c r="G27" s="44">
        <v>0</v>
      </c>
      <c r="H27" s="44">
        <v>0</v>
      </c>
      <c r="I27" s="44">
        <v>0</v>
      </c>
      <c r="J27" s="44">
        <v>0</v>
      </c>
      <c r="K27" s="45"/>
      <c r="L27" s="44"/>
      <c r="M27" s="249"/>
    </row>
    <row r="28" spans="1:16" s="4" customFormat="1" x14ac:dyDescent="0.2">
      <c r="A28" s="47">
        <v>17</v>
      </c>
      <c r="B28" s="59" t="s">
        <v>49</v>
      </c>
      <c r="C28" s="41" t="s">
        <v>50</v>
      </c>
      <c r="D28" s="42"/>
      <c r="E28" s="42"/>
      <c r="F28" s="44">
        <f>G28+H28+I28+J28</f>
        <v>0</v>
      </c>
      <c r="G28" s="44">
        <v>0</v>
      </c>
      <c r="H28" s="44">
        <v>0</v>
      </c>
      <c r="I28" s="44">
        <v>0</v>
      </c>
      <c r="J28" s="44">
        <v>0</v>
      </c>
      <c r="K28" s="45"/>
      <c r="L28" s="44"/>
      <c r="M28" s="249"/>
    </row>
    <row r="29" spans="1:16" s="4" customFormat="1" x14ac:dyDescent="0.2">
      <c r="A29" s="47">
        <v>18</v>
      </c>
      <c r="B29" s="59" t="s">
        <v>51</v>
      </c>
      <c r="C29" s="41" t="s">
        <v>52</v>
      </c>
      <c r="D29" s="42"/>
      <c r="E29" s="42"/>
      <c r="F29" s="44">
        <f>G29+H29+I29+J29</f>
        <v>0</v>
      </c>
      <c r="G29" s="44">
        <v>0</v>
      </c>
      <c r="H29" s="44">
        <v>0</v>
      </c>
      <c r="I29" s="44">
        <v>0</v>
      </c>
      <c r="J29" s="44"/>
      <c r="K29" s="45"/>
      <c r="L29" s="44"/>
      <c r="M29" s="249"/>
    </row>
    <row r="30" spans="1:16" s="4" customFormat="1" ht="25.5" x14ac:dyDescent="0.2">
      <c r="A30" s="47">
        <v>19</v>
      </c>
      <c r="B30" s="60" t="s">
        <v>53</v>
      </c>
      <c r="C30" s="61" t="s">
        <v>54</v>
      </c>
      <c r="D30" s="42"/>
      <c r="E30" s="42"/>
      <c r="F30" s="44">
        <f>G30+H30+I30+J30</f>
        <v>0</v>
      </c>
      <c r="G30" s="44"/>
      <c r="H30" s="44"/>
      <c r="I30" s="44"/>
      <c r="J30" s="44"/>
      <c r="K30" s="45"/>
      <c r="L30" s="44"/>
      <c r="M30" s="249"/>
    </row>
    <row r="31" spans="1:16" s="4" customFormat="1" x14ac:dyDescent="0.2">
      <c r="A31" s="47">
        <v>20</v>
      </c>
      <c r="B31" s="59" t="s">
        <v>55</v>
      </c>
      <c r="C31" s="41" t="s">
        <v>56</v>
      </c>
      <c r="D31" s="42"/>
      <c r="E31" s="42"/>
      <c r="F31" s="44">
        <f>G31+H31+I31+J31</f>
        <v>0</v>
      </c>
      <c r="G31" s="44"/>
      <c r="H31" s="44"/>
      <c r="I31" s="44"/>
      <c r="J31" s="44"/>
      <c r="K31" s="45"/>
      <c r="L31" s="44"/>
      <c r="M31" s="249"/>
    </row>
    <row r="32" spans="1:16" s="4" customFormat="1" x14ac:dyDescent="0.2">
      <c r="A32" s="47">
        <v>21</v>
      </c>
      <c r="B32" s="59" t="s">
        <v>57</v>
      </c>
      <c r="C32" s="41" t="s">
        <v>58</v>
      </c>
      <c r="D32" s="42">
        <v>0</v>
      </c>
      <c r="E32" s="42">
        <v>0</v>
      </c>
      <c r="F32" s="44">
        <f>G32+H32+I32+J26</f>
        <v>0</v>
      </c>
      <c r="G32" s="44"/>
      <c r="H32" s="44"/>
      <c r="I32" s="44"/>
      <c r="J32" s="44"/>
      <c r="K32" s="45"/>
      <c r="L32" s="44"/>
      <c r="M32" s="249"/>
    </row>
    <row r="33" spans="1:16" s="4" customFormat="1" x14ac:dyDescent="0.2">
      <c r="A33" s="47">
        <v>22</v>
      </c>
      <c r="B33" s="59" t="s">
        <v>59</v>
      </c>
      <c r="C33" s="41" t="s">
        <v>60</v>
      </c>
      <c r="D33" s="42"/>
      <c r="E33" s="42"/>
      <c r="F33" s="44"/>
      <c r="G33" s="44"/>
      <c r="H33" s="44"/>
      <c r="I33" s="44"/>
      <c r="J33" s="44"/>
      <c r="K33" s="45"/>
      <c r="L33" s="44"/>
      <c r="M33" s="249"/>
    </row>
    <row r="34" spans="1:16" s="4" customFormat="1" ht="25.5" x14ac:dyDescent="0.2">
      <c r="A34" s="47">
        <v>23</v>
      </c>
      <c r="B34" s="169" t="s">
        <v>61</v>
      </c>
      <c r="C34" s="170">
        <v>20</v>
      </c>
      <c r="D34" s="171">
        <f>D35+D64+D78</f>
        <v>0</v>
      </c>
      <c r="E34" s="171">
        <f>E35+E58+E59+E64+E78</f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57"/>
      <c r="L34" s="43"/>
      <c r="M34" s="248"/>
    </row>
    <row r="35" spans="1:16" s="4" customFormat="1" x14ac:dyDescent="0.2">
      <c r="A35" s="47">
        <v>24</v>
      </c>
      <c r="B35" s="160" t="s">
        <v>62</v>
      </c>
      <c r="C35" s="56" t="s">
        <v>63</v>
      </c>
      <c r="D35" s="53">
        <f>D36+D40+D43+D44+D47+D50+D53</f>
        <v>0</v>
      </c>
      <c r="E35" s="53">
        <f>E36+E40+E43+E44+E47+E50+E53</f>
        <v>0</v>
      </c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104"/>
      <c r="L35" s="103"/>
      <c r="M35" s="105"/>
    </row>
    <row r="36" spans="1:16" s="4" customFormat="1" x14ac:dyDescent="0.2">
      <c r="A36" s="47">
        <v>25</v>
      </c>
      <c r="B36" s="55" t="s">
        <v>64</v>
      </c>
      <c r="C36" s="56" t="s">
        <v>65</v>
      </c>
      <c r="D36" s="53">
        <f>D37</f>
        <v>0</v>
      </c>
      <c r="E36" s="53">
        <f>E37</f>
        <v>0</v>
      </c>
      <c r="F36" s="43">
        <f>F37+F38+F39</f>
        <v>0</v>
      </c>
      <c r="G36" s="43">
        <f>G37+G38+G39</f>
        <v>0</v>
      </c>
      <c r="H36" s="43">
        <f>H37+H38+H39</f>
        <v>0</v>
      </c>
      <c r="I36" s="43">
        <f>I37+I38+I39</f>
        <v>0</v>
      </c>
      <c r="J36" s="43">
        <f>J37+J38+J39</f>
        <v>0</v>
      </c>
      <c r="K36" s="250"/>
      <c r="L36" s="91"/>
      <c r="M36" s="251"/>
    </row>
    <row r="37" spans="1:16" s="4" customFormat="1" x14ac:dyDescent="0.2">
      <c r="A37" s="47">
        <v>26</v>
      </c>
      <c r="B37" s="59" t="s">
        <v>64</v>
      </c>
      <c r="C37" s="41"/>
      <c r="D37" s="42"/>
      <c r="E37" s="42"/>
      <c r="F37" s="44"/>
      <c r="G37" s="44"/>
      <c r="H37" s="44"/>
      <c r="I37" s="44"/>
      <c r="J37" s="44"/>
      <c r="K37" s="250"/>
      <c r="L37" s="91"/>
      <c r="M37" s="251"/>
    </row>
    <row r="38" spans="1:16" s="4" customFormat="1" x14ac:dyDescent="0.2">
      <c r="A38" s="47">
        <v>27</v>
      </c>
      <c r="B38" s="59" t="s">
        <v>66</v>
      </c>
      <c r="C38" s="41"/>
      <c r="D38" s="42"/>
      <c r="E38" s="42"/>
      <c r="F38" s="44"/>
      <c r="G38" s="44"/>
      <c r="H38" s="44"/>
      <c r="I38" s="44"/>
      <c r="J38" s="44"/>
      <c r="K38" s="250"/>
      <c r="L38" s="91"/>
      <c r="M38" s="251"/>
    </row>
    <row r="39" spans="1:16" s="4" customFormat="1" x14ac:dyDescent="0.2">
      <c r="A39" s="47">
        <v>28</v>
      </c>
      <c r="B39" s="59" t="s">
        <v>67</v>
      </c>
      <c r="C39" s="41"/>
      <c r="D39" s="42"/>
      <c r="E39" s="42"/>
      <c r="F39" s="44"/>
      <c r="G39" s="44"/>
      <c r="H39" s="44"/>
      <c r="I39" s="44"/>
      <c r="J39" s="44"/>
      <c r="K39" s="250"/>
      <c r="L39" s="91"/>
      <c r="M39" s="251"/>
    </row>
    <row r="40" spans="1:16" s="4" customFormat="1" x14ac:dyDescent="0.2">
      <c r="A40" s="47">
        <v>29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43">
        <f>F41+F42</f>
        <v>0</v>
      </c>
      <c r="G40" s="43">
        <f>G41+G42</f>
        <v>0</v>
      </c>
      <c r="H40" s="43">
        <f>H41+H42</f>
        <v>0</v>
      </c>
      <c r="I40" s="43">
        <f>I41+I42</f>
        <v>0</v>
      </c>
      <c r="J40" s="43">
        <f>J41+J42</f>
        <v>0</v>
      </c>
      <c r="K40" s="250"/>
      <c r="L40" s="91"/>
      <c r="M40" s="251"/>
      <c r="P40" s="51"/>
    </row>
    <row r="41" spans="1:16" s="4" customFormat="1" x14ac:dyDescent="0.2">
      <c r="A41" s="47">
        <v>30</v>
      </c>
      <c r="B41" s="59" t="s">
        <v>70</v>
      </c>
      <c r="C41" s="56"/>
      <c r="D41" s="53"/>
      <c r="E41" s="53"/>
      <c r="F41" s="44"/>
      <c r="G41" s="44"/>
      <c r="H41" s="44"/>
      <c r="I41" s="44"/>
      <c r="J41" s="44"/>
      <c r="K41" s="250"/>
      <c r="L41" s="91"/>
      <c r="M41" s="251"/>
    </row>
    <row r="42" spans="1:16" s="4" customFormat="1" x14ac:dyDescent="0.2">
      <c r="A42" s="47">
        <v>31</v>
      </c>
      <c r="B42" s="59" t="s">
        <v>71</v>
      </c>
      <c r="C42" s="56"/>
      <c r="D42" s="53"/>
      <c r="E42" s="53"/>
      <c r="F42" s="44"/>
      <c r="G42" s="44"/>
      <c r="H42" s="44"/>
      <c r="I42" s="44"/>
      <c r="J42" s="44"/>
      <c r="K42" s="250"/>
      <c r="L42" s="91"/>
      <c r="M42" s="251"/>
    </row>
    <row r="43" spans="1:16" s="4" customFormat="1" x14ac:dyDescent="0.2">
      <c r="A43" s="47">
        <v>32</v>
      </c>
      <c r="B43" s="59" t="s">
        <v>72</v>
      </c>
      <c r="C43" s="41" t="s">
        <v>73</v>
      </c>
      <c r="D43" s="42">
        <v>0</v>
      </c>
      <c r="E43" s="42">
        <v>0</v>
      </c>
      <c r="F43" s="43">
        <f>G43+H43+I43+J43</f>
        <v>0</v>
      </c>
      <c r="G43" s="43">
        <v>0</v>
      </c>
      <c r="H43" s="43">
        <v>0</v>
      </c>
      <c r="I43" s="43">
        <v>0</v>
      </c>
      <c r="J43" s="43">
        <v>0</v>
      </c>
      <c r="K43" s="250"/>
      <c r="L43" s="91"/>
      <c r="M43" s="251"/>
    </row>
    <row r="44" spans="1:16" s="4" customFormat="1" x14ac:dyDescent="0.2">
      <c r="A44" s="47">
        <v>33</v>
      </c>
      <c r="B44" s="59" t="s">
        <v>74</v>
      </c>
      <c r="C44" s="41" t="s">
        <v>75</v>
      </c>
      <c r="D44" s="42">
        <v>0</v>
      </c>
      <c r="E44" s="42">
        <v>0</v>
      </c>
      <c r="F44" s="43">
        <f>G44+H44+I44+J44</f>
        <v>0</v>
      </c>
      <c r="G44" s="43">
        <v>0</v>
      </c>
      <c r="H44" s="43">
        <v>0</v>
      </c>
      <c r="I44" s="43">
        <v>0</v>
      </c>
      <c r="J44" s="43">
        <v>0</v>
      </c>
      <c r="K44" s="250"/>
      <c r="L44" s="91"/>
      <c r="M44" s="251"/>
    </row>
    <row r="45" spans="1:16" s="4" customFormat="1" x14ac:dyDescent="0.2">
      <c r="A45" s="47">
        <v>34</v>
      </c>
      <c r="B45" s="59" t="s">
        <v>76</v>
      </c>
      <c r="C45" s="41" t="s">
        <v>77</v>
      </c>
      <c r="D45" s="42"/>
      <c r="E45" s="42"/>
      <c r="F45" s="43"/>
      <c r="G45" s="43"/>
      <c r="H45" s="43"/>
      <c r="I45" s="43"/>
      <c r="J45" s="43"/>
      <c r="K45" s="250"/>
      <c r="L45" s="91"/>
      <c r="M45" s="251"/>
    </row>
    <row r="46" spans="1:16" s="4" customFormat="1" x14ac:dyDescent="0.2">
      <c r="A46" s="47">
        <v>35</v>
      </c>
      <c r="B46" s="59" t="s">
        <v>78</v>
      </c>
      <c r="C46" s="41" t="s">
        <v>79</v>
      </c>
      <c r="D46" s="42"/>
      <c r="E46" s="42"/>
      <c r="F46" s="43"/>
      <c r="G46" s="43"/>
      <c r="H46" s="43"/>
      <c r="I46" s="43"/>
      <c r="J46" s="43"/>
      <c r="K46" s="250"/>
      <c r="L46" s="91"/>
      <c r="M46" s="251"/>
    </row>
    <row r="47" spans="1:16" s="4" customFormat="1" x14ac:dyDescent="0.2">
      <c r="A47" s="47">
        <v>36</v>
      </c>
      <c r="B47" s="59" t="s">
        <v>80</v>
      </c>
      <c r="C47" s="41" t="s">
        <v>81</v>
      </c>
      <c r="D47" s="42">
        <f>D48</f>
        <v>0</v>
      </c>
      <c r="E47" s="42">
        <f>E48</f>
        <v>0</v>
      </c>
      <c r="F47" s="43">
        <f>F48+F49</f>
        <v>0</v>
      </c>
      <c r="G47" s="43">
        <f>G48+G49</f>
        <v>0</v>
      </c>
      <c r="H47" s="43">
        <f>H48+H49</f>
        <v>0</v>
      </c>
      <c r="I47" s="43">
        <f>I48+I49</f>
        <v>0</v>
      </c>
      <c r="J47" s="43">
        <f>J48+J49</f>
        <v>0</v>
      </c>
      <c r="K47" s="250"/>
      <c r="L47" s="91"/>
      <c r="M47" s="251"/>
    </row>
    <row r="48" spans="1:16" s="4" customFormat="1" x14ac:dyDescent="0.2">
      <c r="A48" s="47">
        <v>37</v>
      </c>
      <c r="B48" s="59" t="s">
        <v>80</v>
      </c>
      <c r="C48" s="41"/>
      <c r="D48" s="42">
        <v>0</v>
      </c>
      <c r="E48" s="42"/>
      <c r="F48" s="44">
        <f>G48+H48+I48+J48</f>
        <v>0</v>
      </c>
      <c r="G48" s="44"/>
      <c r="H48" s="44"/>
      <c r="I48" s="44"/>
      <c r="J48" s="44"/>
      <c r="K48" s="250"/>
      <c r="L48" s="91"/>
      <c r="M48" s="251"/>
    </row>
    <row r="49" spans="1:13" s="4" customFormat="1" x14ac:dyDescent="0.2">
      <c r="A49" s="47">
        <v>38</v>
      </c>
      <c r="B49" s="59" t="s">
        <v>82</v>
      </c>
      <c r="C49" s="41"/>
      <c r="D49" s="42"/>
      <c r="E49" s="42"/>
      <c r="F49" s="44"/>
      <c r="G49" s="44"/>
      <c r="H49" s="44"/>
      <c r="I49" s="44"/>
      <c r="J49" s="44"/>
      <c r="K49" s="250"/>
      <c r="L49" s="91"/>
      <c r="M49" s="251"/>
    </row>
    <row r="50" spans="1:13" s="4" customFormat="1" x14ac:dyDescent="0.2">
      <c r="A50" s="47">
        <v>39</v>
      </c>
      <c r="B50" s="73" t="s">
        <v>83</v>
      </c>
      <c r="C50" s="56" t="s">
        <v>84</v>
      </c>
      <c r="D50" s="53">
        <f>D51</f>
        <v>0</v>
      </c>
      <c r="E50" s="53">
        <f>E51</f>
        <v>0</v>
      </c>
      <c r="F50" s="43">
        <f>F51+F52</f>
        <v>0</v>
      </c>
      <c r="G50" s="43">
        <f>G51+G52</f>
        <v>0</v>
      </c>
      <c r="H50" s="43">
        <f>H51+H52</f>
        <v>0</v>
      </c>
      <c r="I50" s="43">
        <f>I51+I52</f>
        <v>0</v>
      </c>
      <c r="J50" s="43">
        <f>J51+J52</f>
        <v>0</v>
      </c>
      <c r="K50" s="250"/>
      <c r="L50" s="91"/>
      <c r="M50" s="251"/>
    </row>
    <row r="51" spans="1:13" s="4" customFormat="1" x14ac:dyDescent="0.2">
      <c r="A51" s="47">
        <v>40</v>
      </c>
      <c r="B51" s="74" t="s">
        <v>83</v>
      </c>
      <c r="C51" s="41"/>
      <c r="D51" s="42"/>
      <c r="E51" s="42"/>
      <c r="F51" s="44"/>
      <c r="G51" s="44"/>
      <c r="H51" s="44"/>
      <c r="I51" s="44"/>
      <c r="J51" s="44"/>
      <c r="K51" s="250"/>
      <c r="L51" s="91"/>
      <c r="M51" s="251"/>
    </row>
    <row r="52" spans="1:13" s="4" customFormat="1" x14ac:dyDescent="0.2">
      <c r="A52" s="47">
        <v>41</v>
      </c>
      <c r="B52" s="74" t="s">
        <v>85</v>
      </c>
      <c r="C52" s="41"/>
      <c r="D52" s="42"/>
      <c r="E52" s="42"/>
      <c r="F52" s="44"/>
      <c r="G52" s="44"/>
      <c r="H52" s="44"/>
      <c r="I52" s="44"/>
      <c r="J52" s="44"/>
      <c r="K52" s="250"/>
      <c r="L52" s="91"/>
      <c r="M52" s="251"/>
    </row>
    <row r="53" spans="1:13" s="4" customFormat="1" x14ac:dyDescent="0.2">
      <c r="A53" s="47">
        <v>42</v>
      </c>
      <c r="B53" s="55" t="s">
        <v>86</v>
      </c>
      <c r="C53" s="56" t="s">
        <v>87</v>
      </c>
      <c r="D53" s="53">
        <f>D54+D55</f>
        <v>0</v>
      </c>
      <c r="E53" s="53">
        <f>E54+E55</f>
        <v>0</v>
      </c>
      <c r="F53" s="43">
        <f>F54+F55+F56</f>
        <v>0</v>
      </c>
      <c r="G53" s="43">
        <f>G54+G55+G56</f>
        <v>0</v>
      </c>
      <c r="H53" s="43">
        <f>H54+H55+H56</f>
        <v>0</v>
      </c>
      <c r="I53" s="43">
        <f>I54+I55+I56</f>
        <v>0</v>
      </c>
      <c r="J53" s="43">
        <f>J54+J55+J56</f>
        <v>0</v>
      </c>
      <c r="K53" s="250"/>
      <c r="L53" s="91"/>
      <c r="M53" s="251"/>
    </row>
    <row r="54" spans="1:13" s="4" customFormat="1" x14ac:dyDescent="0.2">
      <c r="A54" s="47">
        <v>43</v>
      </c>
      <c r="B54" s="59" t="s">
        <v>88</v>
      </c>
      <c r="C54" s="41"/>
      <c r="D54" s="42">
        <v>0</v>
      </c>
      <c r="E54" s="42"/>
      <c r="F54" s="44">
        <f>G54+H54+I54+J54</f>
        <v>0</v>
      </c>
      <c r="G54" s="44"/>
      <c r="H54" s="44"/>
      <c r="I54" s="44"/>
      <c r="J54" s="44"/>
      <c r="K54" s="250"/>
      <c r="L54" s="91"/>
      <c r="M54" s="251"/>
    </row>
    <row r="55" spans="1:13" s="4" customFormat="1" x14ac:dyDescent="0.2">
      <c r="A55" s="47">
        <v>44</v>
      </c>
      <c r="B55" s="59" t="s">
        <v>89</v>
      </c>
      <c r="C55" s="41"/>
      <c r="D55" s="42"/>
      <c r="E55" s="42"/>
      <c r="F55" s="44"/>
      <c r="G55" s="44"/>
      <c r="H55" s="44"/>
      <c r="I55" s="44"/>
      <c r="J55" s="44"/>
      <c r="K55" s="250"/>
      <c r="L55" s="91"/>
      <c r="M55" s="251"/>
    </row>
    <row r="56" spans="1:13" s="4" customFormat="1" x14ac:dyDescent="0.2">
      <c r="A56" s="47">
        <v>45</v>
      </c>
      <c r="B56" s="59" t="s">
        <v>233</v>
      </c>
      <c r="C56" s="41"/>
      <c r="D56" s="42"/>
      <c r="E56" s="42"/>
      <c r="F56" s="43"/>
      <c r="G56" s="43"/>
      <c r="H56" s="43"/>
      <c r="I56" s="43"/>
      <c r="J56" s="43"/>
      <c r="K56" s="104"/>
      <c r="L56" s="103"/>
      <c r="M56" s="105"/>
    </row>
    <row r="57" spans="1:13" s="4" customFormat="1" x14ac:dyDescent="0.2">
      <c r="A57" s="47">
        <v>46</v>
      </c>
      <c r="B57" s="55" t="s">
        <v>91</v>
      </c>
      <c r="C57" s="75" t="s">
        <v>92</v>
      </c>
      <c r="D57" s="53">
        <v>0</v>
      </c>
      <c r="E57" s="5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104"/>
      <c r="L57" s="103"/>
      <c r="M57" s="105"/>
    </row>
    <row r="58" spans="1:13" s="4" customFormat="1" x14ac:dyDescent="0.2">
      <c r="A58" s="47">
        <v>47</v>
      </c>
      <c r="B58" s="74" t="s">
        <v>93</v>
      </c>
      <c r="C58" s="56" t="s">
        <v>94</v>
      </c>
      <c r="D58" s="53">
        <v>0</v>
      </c>
      <c r="E58" s="5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104"/>
      <c r="L58" s="103"/>
      <c r="M58" s="105"/>
    </row>
    <row r="59" spans="1:13" s="4" customFormat="1" x14ac:dyDescent="0.2">
      <c r="A59" s="47">
        <v>48</v>
      </c>
      <c r="B59" s="55" t="s">
        <v>95</v>
      </c>
      <c r="C59" s="56" t="s">
        <v>96</v>
      </c>
      <c r="D59" s="53">
        <f>D62+D63</f>
        <v>0</v>
      </c>
      <c r="E59" s="53">
        <f>E62+E63</f>
        <v>0</v>
      </c>
      <c r="F59" s="43">
        <f>F60+F61+F62</f>
        <v>0</v>
      </c>
      <c r="G59" s="43">
        <f>G60+G61+G62</f>
        <v>0</v>
      </c>
      <c r="H59" s="43">
        <f>H60+H61+H62</f>
        <v>0</v>
      </c>
      <c r="I59" s="43">
        <f>I60+I61+I62</f>
        <v>0</v>
      </c>
      <c r="J59" s="43">
        <f>J60+J61+J62</f>
        <v>0</v>
      </c>
      <c r="K59" s="104"/>
      <c r="L59" s="103"/>
      <c r="M59" s="105"/>
    </row>
    <row r="60" spans="1:13" s="4" customFormat="1" x14ac:dyDescent="0.2">
      <c r="A60" s="47">
        <v>49</v>
      </c>
      <c r="B60" s="59" t="s">
        <v>97</v>
      </c>
      <c r="C60" s="41" t="s">
        <v>98</v>
      </c>
      <c r="D60" s="42"/>
      <c r="E60" s="42"/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250"/>
      <c r="L60" s="91"/>
      <c r="M60" s="251"/>
    </row>
    <row r="61" spans="1:13" s="4" customFormat="1" x14ac:dyDescent="0.2">
      <c r="A61" s="47">
        <v>50</v>
      </c>
      <c r="B61" s="59" t="s">
        <v>99</v>
      </c>
      <c r="C61" s="41" t="s">
        <v>100</v>
      </c>
      <c r="D61" s="42"/>
      <c r="E61" s="42"/>
      <c r="F61" s="44">
        <f>G61+H61+I61+J61</f>
        <v>0</v>
      </c>
      <c r="G61" s="44">
        <v>0</v>
      </c>
      <c r="H61" s="44">
        <v>0</v>
      </c>
      <c r="I61" s="44">
        <v>0</v>
      </c>
      <c r="J61" s="44">
        <v>0</v>
      </c>
      <c r="K61" s="250"/>
      <c r="L61" s="91"/>
      <c r="M61" s="251"/>
    </row>
    <row r="62" spans="1:13" s="4" customFormat="1" x14ac:dyDescent="0.2">
      <c r="A62" s="47">
        <v>51</v>
      </c>
      <c r="B62" s="59" t="s">
        <v>101</v>
      </c>
      <c r="C62" s="41" t="s">
        <v>102</v>
      </c>
      <c r="D62" s="42"/>
      <c r="E62" s="42"/>
      <c r="F62" s="44"/>
      <c r="G62" s="44"/>
      <c r="H62" s="44"/>
      <c r="I62" s="44"/>
      <c r="J62" s="44"/>
      <c r="K62" s="250"/>
      <c r="L62" s="91"/>
      <c r="M62" s="251"/>
    </row>
    <row r="63" spans="1:13" s="4" customFormat="1" ht="0.75" customHeight="1" x14ac:dyDescent="0.2">
      <c r="A63" s="47">
        <v>52</v>
      </c>
      <c r="B63" s="59" t="s">
        <v>234</v>
      </c>
      <c r="C63" s="41" t="s">
        <v>102</v>
      </c>
      <c r="D63" s="42">
        <v>0</v>
      </c>
      <c r="E63" s="42">
        <v>0</v>
      </c>
      <c r="F63" s="44">
        <f>G63+H63+I63+J63</f>
        <v>0</v>
      </c>
      <c r="G63" s="44">
        <v>0</v>
      </c>
      <c r="H63" s="44">
        <v>0</v>
      </c>
      <c r="I63" s="44">
        <v>0</v>
      </c>
      <c r="J63" s="44">
        <v>0</v>
      </c>
      <c r="K63" s="250"/>
      <c r="L63" s="91"/>
      <c r="M63" s="251"/>
    </row>
    <row r="64" spans="1:13" s="4" customFormat="1" x14ac:dyDescent="0.2">
      <c r="A64" s="47">
        <v>53</v>
      </c>
      <c r="B64" s="76" t="s">
        <v>104</v>
      </c>
      <c r="C64" s="56" t="s">
        <v>105</v>
      </c>
      <c r="D64" s="53">
        <f>D67+D68</f>
        <v>0</v>
      </c>
      <c r="E64" s="53">
        <f>E67+E68</f>
        <v>0</v>
      </c>
      <c r="F64" s="43">
        <f>F65+F66+F67</f>
        <v>0</v>
      </c>
      <c r="G64" s="43">
        <f>G65+G66+G67</f>
        <v>0</v>
      </c>
      <c r="H64" s="43">
        <f>H65+H66+H67</f>
        <v>0</v>
      </c>
      <c r="I64" s="43">
        <f>I65+I66+I67</f>
        <v>0</v>
      </c>
      <c r="J64" s="43">
        <f>J65+J66+J67</f>
        <v>0</v>
      </c>
      <c r="K64" s="104"/>
      <c r="L64" s="103"/>
      <c r="M64" s="105"/>
    </row>
    <row r="65" spans="1:13" s="4" customFormat="1" x14ac:dyDescent="0.2">
      <c r="A65" s="47">
        <v>54</v>
      </c>
      <c r="B65" s="59" t="s">
        <v>106</v>
      </c>
      <c r="C65" s="41" t="s">
        <v>107</v>
      </c>
      <c r="D65" s="42">
        <v>0</v>
      </c>
      <c r="E65" s="42">
        <v>0</v>
      </c>
      <c r="F65" s="43">
        <f>G65+H65+I65+J65</f>
        <v>0</v>
      </c>
      <c r="G65" s="43"/>
      <c r="H65" s="43"/>
      <c r="I65" s="43"/>
      <c r="J65" s="43"/>
      <c r="K65" s="104"/>
      <c r="L65" s="103"/>
      <c r="M65" s="105"/>
    </row>
    <row r="66" spans="1:13" s="4" customFormat="1" x14ac:dyDescent="0.2">
      <c r="A66" s="47">
        <v>55</v>
      </c>
      <c r="B66" s="59" t="s">
        <v>108</v>
      </c>
      <c r="C66" s="41" t="s">
        <v>109</v>
      </c>
      <c r="D66" s="42">
        <v>0</v>
      </c>
      <c r="E66" s="42"/>
      <c r="F66" s="43"/>
      <c r="G66" s="44"/>
      <c r="H66" s="44"/>
      <c r="I66" s="44"/>
      <c r="J66" s="44"/>
      <c r="K66" s="250"/>
      <c r="L66" s="91"/>
      <c r="M66" s="251"/>
    </row>
    <row r="67" spans="1:13" s="4" customFormat="1" x14ac:dyDescent="0.2">
      <c r="A67" s="47">
        <v>56</v>
      </c>
      <c r="B67" s="59" t="s">
        <v>110</v>
      </c>
      <c r="C67" s="41" t="s">
        <v>111</v>
      </c>
      <c r="D67" s="42">
        <v>0</v>
      </c>
      <c r="E67" s="42"/>
      <c r="F67" s="43"/>
      <c r="G67" s="44"/>
      <c r="H67" s="44"/>
      <c r="I67" s="44"/>
      <c r="J67" s="44"/>
      <c r="K67" s="250"/>
      <c r="L67" s="91"/>
      <c r="M67" s="251"/>
    </row>
    <row r="68" spans="1:13" s="4" customFormat="1" x14ac:dyDescent="0.2">
      <c r="A68" s="47">
        <v>57</v>
      </c>
      <c r="B68" s="59" t="s">
        <v>235</v>
      </c>
      <c r="C68" s="41" t="s">
        <v>111</v>
      </c>
      <c r="D68" s="42">
        <v>0</v>
      </c>
      <c r="E68" s="42">
        <v>0</v>
      </c>
      <c r="F68" s="43">
        <f>G68+H68+I68+J68</f>
        <v>0</v>
      </c>
      <c r="G68" s="44">
        <v>0</v>
      </c>
      <c r="H68" s="44">
        <v>0</v>
      </c>
      <c r="I68" s="44">
        <v>0</v>
      </c>
      <c r="J68" s="44">
        <v>0</v>
      </c>
      <c r="K68" s="250"/>
      <c r="L68" s="91"/>
      <c r="M68" s="251"/>
    </row>
    <row r="69" spans="1:13" s="4" customFormat="1" x14ac:dyDescent="0.2">
      <c r="A69" s="47">
        <v>58</v>
      </c>
      <c r="B69" s="77" t="s">
        <v>113</v>
      </c>
      <c r="C69" s="56" t="s">
        <v>114</v>
      </c>
      <c r="D69" s="53">
        <f>D70+D71</f>
        <v>0</v>
      </c>
      <c r="E69" s="53"/>
      <c r="F69" s="43">
        <f>F70+F71</f>
        <v>0</v>
      </c>
      <c r="G69" s="43">
        <f>G70+G71</f>
        <v>0</v>
      </c>
      <c r="H69" s="43">
        <f>H70+H71</f>
        <v>0</v>
      </c>
      <c r="I69" s="43">
        <f>I70+I71</f>
        <v>0</v>
      </c>
      <c r="J69" s="43">
        <f>J70+J71</f>
        <v>0</v>
      </c>
      <c r="K69" s="104"/>
      <c r="L69" s="103"/>
      <c r="M69" s="105"/>
    </row>
    <row r="70" spans="1:13" s="4" customFormat="1" x14ac:dyDescent="0.2">
      <c r="A70" s="47">
        <v>59</v>
      </c>
      <c r="B70" s="59" t="s">
        <v>115</v>
      </c>
      <c r="C70" s="41" t="s">
        <v>116</v>
      </c>
      <c r="D70" s="42">
        <v>0</v>
      </c>
      <c r="E70" s="42"/>
      <c r="F70" s="44"/>
      <c r="G70" s="44"/>
      <c r="H70" s="44"/>
      <c r="I70" s="44"/>
      <c r="J70" s="44"/>
      <c r="K70" s="250"/>
      <c r="L70" s="91"/>
      <c r="M70" s="251"/>
    </row>
    <row r="71" spans="1:13" s="4" customFormat="1" x14ac:dyDescent="0.2">
      <c r="A71" s="47">
        <v>60</v>
      </c>
      <c r="B71" s="59" t="s">
        <v>117</v>
      </c>
      <c r="C71" s="41" t="s">
        <v>118</v>
      </c>
      <c r="D71" s="42">
        <v>0</v>
      </c>
      <c r="E71" s="42"/>
      <c r="F71" s="44"/>
      <c r="G71" s="44"/>
      <c r="H71" s="44"/>
      <c r="I71" s="44"/>
      <c r="J71" s="44"/>
      <c r="K71" s="250"/>
      <c r="L71" s="91"/>
      <c r="M71" s="251"/>
    </row>
    <row r="72" spans="1:13" s="4" customFormat="1" x14ac:dyDescent="0.2">
      <c r="A72" s="47">
        <v>61</v>
      </c>
      <c r="B72" s="55" t="s">
        <v>119</v>
      </c>
      <c r="C72" s="56" t="s">
        <v>120</v>
      </c>
      <c r="D72" s="53">
        <v>0</v>
      </c>
      <c r="E72" s="53"/>
      <c r="F72" s="43"/>
      <c r="G72" s="43"/>
      <c r="H72" s="43"/>
      <c r="I72" s="43"/>
      <c r="J72" s="43"/>
      <c r="K72" s="104"/>
      <c r="L72" s="103"/>
      <c r="M72" s="105"/>
    </row>
    <row r="73" spans="1:13" s="4" customFormat="1" x14ac:dyDescent="0.2">
      <c r="A73" s="47">
        <v>62</v>
      </c>
      <c r="B73" s="55" t="s">
        <v>121</v>
      </c>
      <c r="C73" s="56" t="s">
        <v>122</v>
      </c>
      <c r="D73" s="53">
        <v>0</v>
      </c>
      <c r="E73" s="53"/>
      <c r="F73" s="43"/>
      <c r="G73" s="43"/>
      <c r="H73" s="43"/>
      <c r="I73" s="43"/>
      <c r="J73" s="43"/>
      <c r="K73" s="104"/>
      <c r="L73" s="103"/>
      <c r="M73" s="105"/>
    </row>
    <row r="74" spans="1:13" s="4" customFormat="1" x14ac:dyDescent="0.2">
      <c r="A74" s="47">
        <v>63</v>
      </c>
      <c r="B74" s="55" t="s">
        <v>123</v>
      </c>
      <c r="C74" s="56" t="s">
        <v>124</v>
      </c>
      <c r="D74" s="53">
        <v>0</v>
      </c>
      <c r="E74" s="53"/>
      <c r="F74" s="43"/>
      <c r="G74" s="43"/>
      <c r="H74" s="43"/>
      <c r="I74" s="43"/>
      <c r="J74" s="43"/>
      <c r="K74" s="104"/>
      <c r="L74" s="103"/>
      <c r="M74" s="105"/>
    </row>
    <row r="75" spans="1:13" s="4" customFormat="1" x14ac:dyDescent="0.2">
      <c r="A75" s="47">
        <v>64</v>
      </c>
      <c r="B75" s="55" t="s">
        <v>125</v>
      </c>
      <c r="C75" s="56" t="s">
        <v>126</v>
      </c>
      <c r="D75" s="53">
        <v>0</v>
      </c>
      <c r="E75" s="53"/>
      <c r="F75" s="43"/>
      <c r="G75" s="43"/>
      <c r="H75" s="43"/>
      <c r="I75" s="43"/>
      <c r="J75" s="43"/>
      <c r="K75" s="104"/>
      <c r="L75" s="103"/>
      <c r="M75" s="105"/>
    </row>
    <row r="76" spans="1:13" s="4" customFormat="1" x14ac:dyDescent="0.2">
      <c r="A76" s="47">
        <v>65</v>
      </c>
      <c r="B76" s="55" t="s">
        <v>127</v>
      </c>
      <c r="C76" s="56" t="s">
        <v>128</v>
      </c>
      <c r="D76" s="53">
        <v>0</v>
      </c>
      <c r="E76" s="53"/>
      <c r="F76" s="43"/>
      <c r="G76" s="43"/>
      <c r="H76" s="43"/>
      <c r="I76" s="43"/>
      <c r="J76" s="43"/>
      <c r="K76" s="104"/>
      <c r="L76" s="103"/>
      <c r="M76" s="105"/>
    </row>
    <row r="77" spans="1:13" s="4" customFormat="1" x14ac:dyDescent="0.2">
      <c r="A77" s="47">
        <v>66</v>
      </c>
      <c r="B77" s="59" t="s">
        <v>129</v>
      </c>
      <c r="C77" s="41" t="s">
        <v>130</v>
      </c>
      <c r="D77" s="53">
        <v>0</v>
      </c>
      <c r="E77" s="53"/>
      <c r="F77" s="43"/>
      <c r="G77" s="43"/>
      <c r="H77" s="43"/>
      <c r="I77" s="43"/>
      <c r="J77" s="43"/>
      <c r="K77" s="104"/>
      <c r="L77" s="103"/>
      <c r="M77" s="105"/>
    </row>
    <row r="78" spans="1:13" s="4" customFormat="1" x14ac:dyDescent="0.2">
      <c r="A78" s="47">
        <v>67</v>
      </c>
      <c r="B78" s="59" t="s">
        <v>131</v>
      </c>
      <c r="C78" s="56" t="s">
        <v>132</v>
      </c>
      <c r="D78" s="53">
        <f>D80</f>
        <v>0</v>
      </c>
      <c r="E78" s="53">
        <f>E80</f>
        <v>0</v>
      </c>
      <c r="F78" s="43">
        <f>F79+F80+F81+F82</f>
        <v>0</v>
      </c>
      <c r="G78" s="43">
        <f>G79+G80+G81+G82</f>
        <v>0</v>
      </c>
      <c r="H78" s="43">
        <f>H79+H80+H81+H82</f>
        <v>0</v>
      </c>
      <c r="I78" s="43">
        <f>I79+I80+I81+I82</f>
        <v>0</v>
      </c>
      <c r="J78" s="43">
        <f>J79+J80+J81+J82</f>
        <v>0</v>
      </c>
      <c r="K78" s="250"/>
      <c r="L78" s="91"/>
      <c r="M78" s="251"/>
    </row>
    <row r="79" spans="1:13" s="4" customFormat="1" x14ac:dyDescent="0.2">
      <c r="A79" s="47">
        <v>68</v>
      </c>
      <c r="B79" s="59" t="s">
        <v>133</v>
      </c>
      <c r="C79" s="41"/>
      <c r="D79" s="42">
        <v>0</v>
      </c>
      <c r="E79" s="42"/>
      <c r="F79" s="44"/>
      <c r="G79" s="44"/>
      <c r="H79" s="44"/>
      <c r="I79" s="44"/>
      <c r="J79" s="44"/>
      <c r="K79" s="250"/>
      <c r="L79" s="91"/>
      <c r="M79" s="251"/>
    </row>
    <row r="80" spans="1:13" s="4" customFormat="1" x14ac:dyDescent="0.2">
      <c r="A80" s="47">
        <v>69</v>
      </c>
      <c r="B80" s="106" t="s">
        <v>254</v>
      </c>
      <c r="C80" s="81"/>
      <c r="D80" s="82">
        <v>0</v>
      </c>
      <c r="E80" s="82">
        <v>0</v>
      </c>
      <c r="F80" s="83">
        <f>G80+H80+I80+J80</f>
        <v>0</v>
      </c>
      <c r="G80" s="83"/>
      <c r="H80" s="83"/>
      <c r="I80" s="83"/>
      <c r="J80" s="83"/>
      <c r="K80" s="265"/>
      <c r="L80" s="266"/>
      <c r="M80" s="267"/>
    </row>
    <row r="81" spans="1:13" s="4" customFormat="1" x14ac:dyDescent="0.2">
      <c r="A81" s="47">
        <v>70</v>
      </c>
      <c r="B81" s="302" t="s">
        <v>238</v>
      </c>
      <c r="C81" s="86"/>
      <c r="D81" s="87"/>
      <c r="E81" s="87"/>
      <c r="F81" s="88"/>
      <c r="G81" s="88"/>
      <c r="H81" s="88"/>
      <c r="I81" s="88"/>
      <c r="J81" s="88"/>
      <c r="K81" s="89"/>
      <c r="L81" s="88"/>
      <c r="M81" s="269"/>
    </row>
    <row r="82" spans="1:13" s="4" customFormat="1" x14ac:dyDescent="0.2">
      <c r="A82" s="47">
        <v>71</v>
      </c>
      <c r="B82" s="59" t="s">
        <v>134</v>
      </c>
      <c r="C82" s="41"/>
      <c r="D82" s="117"/>
      <c r="E82" s="117"/>
      <c r="F82" s="91"/>
      <c r="G82" s="91"/>
      <c r="H82" s="91"/>
      <c r="I82" s="91"/>
      <c r="J82" s="91"/>
      <c r="K82" s="250"/>
      <c r="L82" s="91"/>
      <c r="M82" s="251"/>
    </row>
    <row r="83" spans="1:13" s="4" customFormat="1" x14ac:dyDescent="0.2">
      <c r="A83" s="47">
        <v>72</v>
      </c>
      <c r="B83" s="59" t="s">
        <v>135</v>
      </c>
      <c r="C83" s="41"/>
      <c r="D83" s="117"/>
      <c r="E83" s="117"/>
      <c r="F83" s="91"/>
      <c r="G83" s="91"/>
      <c r="H83" s="91"/>
      <c r="I83" s="91"/>
      <c r="J83" s="91"/>
      <c r="K83" s="250"/>
      <c r="L83" s="91"/>
      <c r="M83" s="251"/>
    </row>
    <row r="84" spans="1:13" s="4" customFormat="1" x14ac:dyDescent="0.2">
      <c r="A84" s="47">
        <v>73</v>
      </c>
      <c r="B84" s="90" t="s">
        <v>239</v>
      </c>
      <c r="C84" s="41"/>
      <c r="D84" s="117"/>
      <c r="E84" s="117"/>
      <c r="F84" s="91"/>
      <c r="G84" s="91"/>
      <c r="H84" s="91"/>
      <c r="I84" s="91"/>
      <c r="J84" s="91"/>
      <c r="K84" s="250"/>
      <c r="L84" s="91"/>
      <c r="M84" s="251"/>
    </row>
    <row r="85" spans="1:13" s="4" customFormat="1" x14ac:dyDescent="0.2">
      <c r="A85" s="47">
        <v>74</v>
      </c>
      <c r="B85" s="90" t="s">
        <v>136</v>
      </c>
      <c r="C85" s="41"/>
      <c r="D85" s="117"/>
      <c r="E85" s="117"/>
      <c r="F85" s="91"/>
      <c r="G85" s="91"/>
      <c r="H85" s="91"/>
      <c r="I85" s="91"/>
      <c r="J85" s="91"/>
      <c r="K85" s="250"/>
      <c r="L85" s="91"/>
      <c r="M85" s="251"/>
    </row>
    <row r="86" spans="1:13" s="4" customFormat="1" x14ac:dyDescent="0.2">
      <c r="A86" s="47">
        <v>75</v>
      </c>
      <c r="B86" s="90" t="s">
        <v>137</v>
      </c>
      <c r="C86" s="41"/>
      <c r="D86" s="117"/>
      <c r="E86" s="117"/>
      <c r="F86" s="91"/>
      <c r="G86" s="91"/>
      <c r="H86" s="91"/>
      <c r="I86" s="91"/>
      <c r="J86" s="91"/>
      <c r="K86" s="250"/>
      <c r="L86" s="91"/>
      <c r="M86" s="251"/>
    </row>
    <row r="87" spans="1:13" s="4" customFormat="1" x14ac:dyDescent="0.2">
      <c r="A87" s="47">
        <v>76</v>
      </c>
      <c r="B87" s="90" t="s">
        <v>138</v>
      </c>
      <c r="C87" s="41"/>
      <c r="D87" s="117"/>
      <c r="E87" s="117"/>
      <c r="F87" s="91"/>
      <c r="G87" s="91"/>
      <c r="H87" s="91"/>
      <c r="I87" s="91"/>
      <c r="J87" s="91"/>
      <c r="K87" s="250"/>
      <c r="L87" s="91"/>
      <c r="M87" s="251"/>
    </row>
    <row r="88" spans="1:13" s="4" customFormat="1" ht="13.35" customHeight="1" x14ac:dyDescent="0.2">
      <c r="A88" s="47">
        <v>77</v>
      </c>
      <c r="B88" s="100" t="s">
        <v>140</v>
      </c>
      <c r="C88" s="56" t="s">
        <v>141</v>
      </c>
      <c r="D88" s="114"/>
      <c r="E88" s="114"/>
      <c r="F88" s="103"/>
      <c r="G88" s="103"/>
      <c r="H88" s="103"/>
      <c r="I88" s="103"/>
      <c r="J88" s="103"/>
      <c r="K88" s="104"/>
      <c r="L88" s="103"/>
      <c r="M88" s="105"/>
    </row>
    <row r="89" spans="1:13" s="4" customFormat="1" ht="38.25" customHeight="1" x14ac:dyDescent="0.2">
      <c r="A89" s="47">
        <v>78</v>
      </c>
      <c r="B89" s="100" t="s">
        <v>142</v>
      </c>
      <c r="C89" s="101" t="s">
        <v>143</v>
      </c>
      <c r="D89" s="102"/>
      <c r="E89" s="102"/>
      <c r="F89" s="103"/>
      <c r="G89" s="103"/>
      <c r="H89" s="103"/>
      <c r="I89" s="103"/>
      <c r="J89" s="103"/>
      <c r="K89" s="104"/>
      <c r="L89" s="103"/>
      <c r="M89" s="105"/>
    </row>
    <row r="90" spans="1:13" s="4" customFormat="1" x14ac:dyDescent="0.2">
      <c r="A90" s="47">
        <v>79</v>
      </c>
      <c r="B90" s="106" t="s">
        <v>144</v>
      </c>
      <c r="C90" s="81" t="s">
        <v>145</v>
      </c>
      <c r="D90" s="107"/>
      <c r="E90" s="107"/>
      <c r="F90" s="108"/>
      <c r="G90" s="108"/>
      <c r="H90" s="108"/>
      <c r="I90" s="108"/>
      <c r="J90" s="108"/>
      <c r="K90" s="109"/>
      <c r="L90" s="108"/>
      <c r="M90" s="110"/>
    </row>
    <row r="91" spans="1:13" s="4" customFormat="1" x14ac:dyDescent="0.2">
      <c r="A91" s="47">
        <v>80</v>
      </c>
      <c r="B91" s="35" t="s">
        <v>146</v>
      </c>
      <c r="C91" s="69" t="s">
        <v>147</v>
      </c>
      <c r="D91" s="96"/>
      <c r="E91" s="96"/>
      <c r="F91" s="111"/>
      <c r="G91" s="111"/>
      <c r="H91" s="111"/>
      <c r="I91" s="111"/>
      <c r="J91" s="111"/>
      <c r="K91" s="112"/>
      <c r="L91" s="111"/>
      <c r="M91" s="113"/>
    </row>
    <row r="92" spans="1:13" s="4" customFormat="1" x14ac:dyDescent="0.2">
      <c r="A92" s="47">
        <v>81</v>
      </c>
      <c r="B92" s="55" t="s">
        <v>148</v>
      </c>
      <c r="C92" s="56" t="s">
        <v>149</v>
      </c>
      <c r="D92" s="114"/>
      <c r="E92" s="114"/>
      <c r="F92" s="103">
        <f>F93</f>
        <v>0</v>
      </c>
      <c r="G92" s="103">
        <f>G93</f>
        <v>0</v>
      </c>
      <c r="H92" s="103">
        <f>H93</f>
        <v>0</v>
      </c>
      <c r="I92" s="103">
        <f>I93</f>
        <v>0</v>
      </c>
      <c r="J92" s="103">
        <f>J93</f>
        <v>0</v>
      </c>
      <c r="K92" s="104"/>
      <c r="L92" s="103"/>
      <c r="M92" s="105"/>
    </row>
    <row r="93" spans="1:13" s="4" customFormat="1" x14ac:dyDescent="0.2">
      <c r="A93" s="47">
        <v>82</v>
      </c>
      <c r="B93" s="115" t="s">
        <v>150</v>
      </c>
      <c r="C93" s="56" t="s">
        <v>151</v>
      </c>
      <c r="D93" s="114"/>
      <c r="E93" s="114"/>
      <c r="F93" s="103">
        <f>F94+F107</f>
        <v>0</v>
      </c>
      <c r="G93" s="103">
        <f>G94+G107</f>
        <v>0</v>
      </c>
      <c r="H93" s="103">
        <f>H94+H107</f>
        <v>0</v>
      </c>
      <c r="I93" s="103">
        <f>I94+I107</f>
        <v>0</v>
      </c>
      <c r="J93" s="103">
        <f>J94+J107</f>
        <v>0</v>
      </c>
      <c r="K93" s="104"/>
      <c r="L93" s="103"/>
      <c r="M93" s="105"/>
    </row>
    <row r="94" spans="1:13" s="4" customFormat="1" x14ac:dyDescent="0.2">
      <c r="A94" s="47">
        <v>83</v>
      </c>
      <c r="B94" s="115" t="s">
        <v>152</v>
      </c>
      <c r="C94" s="56" t="s">
        <v>153</v>
      </c>
      <c r="D94" s="114"/>
      <c r="E94" s="114"/>
      <c r="F94" s="103">
        <f>F95+F96+F97+F98+F100+F101</f>
        <v>0</v>
      </c>
      <c r="G94" s="103">
        <f>G95+G96+G97+G98+G100+G101</f>
        <v>0</v>
      </c>
      <c r="H94" s="103">
        <f>H95+H96+H97+H98+H100+H101</f>
        <v>0</v>
      </c>
      <c r="I94" s="103">
        <f>I95+I96+I97+I98+I100+I101</f>
        <v>0</v>
      </c>
      <c r="J94" s="103">
        <f>J95+J96+J97+J98+J100+J101</f>
        <v>0</v>
      </c>
      <c r="K94" s="104"/>
      <c r="L94" s="103"/>
      <c r="M94" s="105"/>
    </row>
    <row r="95" spans="1:13" s="4" customFormat="1" x14ac:dyDescent="0.2">
      <c r="A95" s="47">
        <v>84</v>
      </c>
      <c r="B95" s="116" t="s">
        <v>154</v>
      </c>
      <c r="C95" s="41"/>
      <c r="D95" s="117"/>
      <c r="E95" s="117"/>
      <c r="F95" s="103"/>
      <c r="G95" s="103"/>
      <c r="H95" s="103"/>
      <c r="I95" s="103"/>
      <c r="J95" s="103"/>
      <c r="K95" s="118"/>
      <c r="L95" s="103"/>
      <c r="M95" s="105"/>
    </row>
    <row r="96" spans="1:13" s="4" customFormat="1" x14ac:dyDescent="0.2">
      <c r="A96" s="47">
        <v>85</v>
      </c>
      <c r="B96" s="116" t="s">
        <v>155</v>
      </c>
      <c r="C96" s="41"/>
      <c r="D96" s="117"/>
      <c r="E96" s="117"/>
      <c r="F96" s="103"/>
      <c r="G96" s="103"/>
      <c r="H96" s="103"/>
      <c r="I96" s="103"/>
      <c r="J96" s="103"/>
      <c r="K96" s="118"/>
      <c r="L96" s="103"/>
      <c r="M96" s="105"/>
    </row>
    <row r="97" spans="1:13" s="4" customFormat="1" x14ac:dyDescent="0.2">
      <c r="A97" s="47">
        <v>86</v>
      </c>
      <c r="B97" s="116" t="s">
        <v>156</v>
      </c>
      <c r="C97" s="41"/>
      <c r="D97" s="117"/>
      <c r="E97" s="117"/>
      <c r="F97" s="103"/>
      <c r="G97" s="103"/>
      <c r="H97" s="103"/>
      <c r="I97" s="103"/>
      <c r="J97" s="103"/>
      <c r="K97" s="118"/>
      <c r="L97" s="103"/>
      <c r="M97" s="105"/>
    </row>
    <row r="98" spans="1:13" s="4" customFormat="1" x14ac:dyDescent="0.2">
      <c r="A98" s="47">
        <v>87</v>
      </c>
      <c r="B98" s="119" t="s">
        <v>157</v>
      </c>
      <c r="C98" s="41"/>
      <c r="D98" s="117"/>
      <c r="E98" s="117"/>
      <c r="F98" s="103"/>
      <c r="G98" s="103"/>
      <c r="H98" s="103"/>
      <c r="I98" s="103"/>
      <c r="J98" s="103"/>
      <c r="K98" s="118"/>
      <c r="L98" s="103"/>
      <c r="M98" s="105"/>
    </row>
    <row r="99" spans="1:13" s="4" customFormat="1" x14ac:dyDescent="0.2">
      <c r="A99" s="47">
        <v>88</v>
      </c>
      <c r="B99" s="120" t="s">
        <v>158</v>
      </c>
      <c r="C99" s="41"/>
      <c r="D99" s="117"/>
      <c r="E99" s="117"/>
      <c r="F99" s="103"/>
      <c r="G99" s="103"/>
      <c r="H99" s="103"/>
      <c r="I99" s="103"/>
      <c r="J99" s="103"/>
      <c r="K99" s="118"/>
      <c r="L99" s="103"/>
      <c r="M99" s="105"/>
    </row>
    <row r="100" spans="1:13" s="4" customFormat="1" x14ac:dyDescent="0.2">
      <c r="A100" s="47">
        <v>89</v>
      </c>
      <c r="B100" s="121" t="s">
        <v>159</v>
      </c>
      <c r="C100" s="41"/>
      <c r="D100" s="117"/>
      <c r="E100" s="117"/>
      <c r="F100" s="103"/>
      <c r="G100" s="103"/>
      <c r="H100" s="103"/>
      <c r="I100" s="103"/>
      <c r="J100" s="103"/>
      <c r="K100" s="118"/>
      <c r="L100" s="103"/>
      <c r="M100" s="105"/>
    </row>
    <row r="101" spans="1:13" s="4" customFormat="1" x14ac:dyDescent="0.2">
      <c r="A101" s="47">
        <v>90</v>
      </c>
      <c r="B101" s="122" t="s">
        <v>160</v>
      </c>
      <c r="C101" s="41"/>
      <c r="D101" s="117"/>
      <c r="E101" s="117"/>
      <c r="F101" s="103"/>
      <c r="G101" s="103"/>
      <c r="H101" s="103"/>
      <c r="I101" s="103"/>
      <c r="J101" s="103"/>
      <c r="K101" s="118"/>
      <c r="L101" s="103"/>
      <c r="M101" s="105"/>
    </row>
    <row r="102" spans="1:13" s="4" customFormat="1" x14ac:dyDescent="0.2">
      <c r="A102" s="47">
        <v>91</v>
      </c>
      <c r="B102" s="122" t="s">
        <v>161</v>
      </c>
      <c r="C102" s="41"/>
      <c r="D102" s="117"/>
      <c r="E102" s="117"/>
      <c r="F102" s="103"/>
      <c r="G102" s="103"/>
      <c r="H102" s="103"/>
      <c r="I102" s="103"/>
      <c r="J102" s="103"/>
      <c r="K102" s="104"/>
      <c r="L102" s="103"/>
      <c r="M102" s="105"/>
    </row>
    <row r="103" spans="1:13" s="4" customFormat="1" x14ac:dyDescent="0.2">
      <c r="A103" s="47">
        <v>92</v>
      </c>
      <c r="B103" s="4" t="s">
        <v>162</v>
      </c>
      <c r="C103" s="41"/>
      <c r="D103" s="117"/>
      <c r="E103" s="117"/>
      <c r="F103" s="103"/>
      <c r="G103" s="103"/>
      <c r="H103" s="103"/>
      <c r="I103" s="103"/>
      <c r="J103" s="103"/>
      <c r="K103" s="104"/>
      <c r="L103" s="103"/>
      <c r="M103" s="105"/>
    </row>
    <row r="104" spans="1:13" s="4" customFormat="1" x14ac:dyDescent="0.2">
      <c r="A104" s="47">
        <v>93</v>
      </c>
      <c r="B104" s="122" t="s">
        <v>163</v>
      </c>
      <c r="C104" s="41"/>
      <c r="D104" s="117"/>
      <c r="E104" s="117"/>
      <c r="F104" s="103"/>
      <c r="G104" s="103"/>
      <c r="H104" s="103"/>
      <c r="I104" s="103"/>
      <c r="J104" s="103"/>
      <c r="K104" s="104"/>
      <c r="L104" s="103"/>
      <c r="M104" s="105"/>
    </row>
    <row r="105" spans="1:13" s="4" customFormat="1" x14ac:dyDescent="0.2">
      <c r="A105" s="47">
        <v>94</v>
      </c>
      <c r="B105" s="122" t="s">
        <v>164</v>
      </c>
      <c r="C105" s="41"/>
      <c r="D105" s="117"/>
      <c r="E105" s="117"/>
      <c r="F105" s="103"/>
      <c r="G105" s="103"/>
      <c r="H105" s="103"/>
      <c r="I105" s="103"/>
      <c r="J105" s="103"/>
      <c r="K105" s="104"/>
      <c r="L105" s="103"/>
      <c r="M105" s="105"/>
    </row>
    <row r="106" spans="1:13" s="4" customFormat="1" x14ac:dyDescent="0.2">
      <c r="A106" s="47">
        <v>95</v>
      </c>
      <c r="B106" s="122"/>
      <c r="C106" s="41"/>
      <c r="D106" s="117"/>
      <c r="E106" s="117"/>
      <c r="F106" s="103"/>
      <c r="G106" s="103"/>
      <c r="H106" s="103"/>
      <c r="I106" s="103"/>
      <c r="J106" s="103"/>
      <c r="K106" s="104"/>
      <c r="L106" s="103"/>
      <c r="M106" s="105"/>
    </row>
    <row r="107" spans="1:13" s="4" customFormat="1" x14ac:dyDescent="0.2">
      <c r="A107" s="47">
        <v>96</v>
      </c>
      <c r="B107" s="123" t="s">
        <v>165</v>
      </c>
      <c r="C107" s="56" t="s">
        <v>166</v>
      </c>
      <c r="D107" s="114"/>
      <c r="E107" s="114"/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3" s="4" customFormat="1" x14ac:dyDescent="0.2">
      <c r="A108" s="47">
        <v>97</v>
      </c>
      <c r="B108" s="124" t="s">
        <v>167</v>
      </c>
      <c r="C108" s="41"/>
      <c r="D108" s="117"/>
      <c r="E108" s="117"/>
      <c r="F108" s="103"/>
      <c r="G108" s="103"/>
      <c r="H108" s="103"/>
      <c r="I108" s="103"/>
      <c r="J108" s="103"/>
      <c r="K108" s="118"/>
      <c r="L108" s="103"/>
      <c r="M108" s="105"/>
    </row>
    <row r="109" spans="1:13" s="4" customFormat="1" x14ac:dyDescent="0.2">
      <c r="A109" s="47">
        <v>98</v>
      </c>
      <c r="B109" s="125" t="s">
        <v>168</v>
      </c>
      <c r="C109" s="41"/>
      <c r="D109" s="117"/>
      <c r="E109" s="117"/>
      <c r="F109" s="103"/>
      <c r="G109" s="103"/>
      <c r="H109" s="103"/>
      <c r="I109" s="103"/>
      <c r="J109" s="103"/>
      <c r="K109" s="118"/>
      <c r="L109" s="103"/>
      <c r="M109" s="105"/>
    </row>
    <row r="110" spans="1:13" s="4" customFormat="1" x14ac:dyDescent="0.2">
      <c r="A110" s="47">
        <v>99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103"/>
      <c r="M110" s="105"/>
    </row>
    <row r="111" spans="1:13" s="4" customFormat="1" x14ac:dyDescent="0.2">
      <c r="A111" s="47">
        <v>100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103"/>
      <c r="M111" s="105"/>
    </row>
    <row r="112" spans="1:13" s="4" customFormat="1" ht="25.5" x14ac:dyDescent="0.2">
      <c r="A112" s="47">
        <v>101</v>
      </c>
      <c r="B112" s="126" t="s">
        <v>171</v>
      </c>
      <c r="C112" s="101" t="s">
        <v>172</v>
      </c>
      <c r="D112" s="102"/>
      <c r="E112" s="102"/>
      <c r="F112" s="103">
        <f>F117</f>
        <v>0</v>
      </c>
      <c r="G112" s="103">
        <f>G117</f>
        <v>0</v>
      </c>
      <c r="H112" s="103">
        <f>H117</f>
        <v>0</v>
      </c>
      <c r="I112" s="103">
        <f>I117</f>
        <v>0</v>
      </c>
      <c r="J112" s="103">
        <f>J117</f>
        <v>0</v>
      </c>
      <c r="K112" s="104"/>
      <c r="L112" s="103"/>
      <c r="M112" s="105"/>
    </row>
    <row r="113" spans="1:13" s="4" customFormat="1" x14ac:dyDescent="0.2">
      <c r="A113" s="47">
        <v>102</v>
      </c>
      <c r="B113" s="4" t="s">
        <v>127</v>
      </c>
      <c r="C113" s="56" t="s">
        <v>173</v>
      </c>
      <c r="D113" s="114"/>
      <c r="E113" s="114"/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x14ac:dyDescent="0.2">
      <c r="A114" s="47">
        <v>103</v>
      </c>
      <c r="B114" s="73" t="s">
        <v>174</v>
      </c>
      <c r="C114" s="56"/>
      <c r="D114" s="114"/>
      <c r="E114" s="114"/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x14ac:dyDescent="0.2">
      <c r="A115" s="47">
        <v>104</v>
      </c>
      <c r="B115" s="73" t="s">
        <v>175</v>
      </c>
      <c r="C115" s="56"/>
      <c r="D115" s="114"/>
      <c r="E115" s="114"/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x14ac:dyDescent="0.2">
      <c r="A116" s="47">
        <v>105</v>
      </c>
      <c r="B116" s="73" t="s">
        <v>176</v>
      </c>
      <c r="C116" s="56" t="s">
        <v>177</v>
      </c>
      <c r="D116" s="114"/>
      <c r="E116" s="114"/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x14ac:dyDescent="0.2">
      <c r="A117" s="47">
        <v>106</v>
      </c>
      <c r="B117" s="127" t="s">
        <v>178</v>
      </c>
      <c r="C117" s="128" t="s">
        <v>179</v>
      </c>
      <c r="D117" s="129"/>
      <c r="E117" s="129"/>
      <c r="F117" s="132">
        <f>G117+H117+I117+J117</f>
        <v>0</v>
      </c>
      <c r="G117" s="132"/>
      <c r="H117" s="132"/>
      <c r="I117" s="132"/>
      <c r="J117" s="132"/>
      <c r="K117" s="131"/>
      <c r="L117" s="132"/>
      <c r="M117" s="133"/>
    </row>
    <row r="118" spans="1:13" s="135" customFormat="1" x14ac:dyDescent="0.2">
      <c r="A118" s="47">
        <v>107</v>
      </c>
      <c r="B118" s="24" t="s">
        <v>180</v>
      </c>
      <c r="C118" s="25"/>
      <c r="D118" s="134" t="e">
        <f ca="1">'68.04-PERS.VARSTNICE'!D117+'68.02.05.02- AP+IND+RAT'!D118+'68.06 centralizat'!D118+'68.12 CENTRALIZATOR'!D118+'68.15.01-AJ SOC'!D118+'68.15.02-CANTINA'!D118+'68.50.50 rest DAS+CPFA'!D118</f>
        <v>#VALUE!</v>
      </c>
      <c r="E118" s="134"/>
      <c r="F118" s="97">
        <f>F132</f>
        <v>0</v>
      </c>
      <c r="G118" s="97">
        <f>G132</f>
        <v>0</v>
      </c>
      <c r="H118" s="97">
        <f>H132</f>
        <v>0</v>
      </c>
      <c r="I118" s="97">
        <f>I132</f>
        <v>0</v>
      </c>
      <c r="J118" s="97">
        <f>J132</f>
        <v>0</v>
      </c>
      <c r="K118" s="98"/>
      <c r="L118" s="97"/>
      <c r="M118" s="99"/>
    </row>
    <row r="119" spans="1:13" s="4" customFormat="1" ht="25.5" x14ac:dyDescent="0.2">
      <c r="A119" s="47">
        <v>108</v>
      </c>
      <c r="B119" s="126" t="s">
        <v>181</v>
      </c>
      <c r="C119" s="136" t="s">
        <v>182</v>
      </c>
      <c r="D119" s="137"/>
      <c r="E119" s="137"/>
      <c r="F119" s="103"/>
      <c r="G119" s="103"/>
      <c r="H119" s="103"/>
      <c r="I119" s="103"/>
      <c r="J119" s="103"/>
      <c r="K119" s="118"/>
      <c r="L119" s="103"/>
      <c r="M119" s="105"/>
    </row>
    <row r="120" spans="1:13" s="4" customFormat="1" x14ac:dyDescent="0.2">
      <c r="A120" s="47">
        <v>109</v>
      </c>
      <c r="B120" s="55" t="s">
        <v>183</v>
      </c>
      <c r="C120" s="56" t="s">
        <v>184</v>
      </c>
      <c r="D120" s="114"/>
      <c r="E120" s="114"/>
      <c r="F120" s="103"/>
      <c r="G120" s="103"/>
      <c r="H120" s="103"/>
      <c r="I120" s="103"/>
      <c r="J120" s="103"/>
      <c r="K120" s="118"/>
      <c r="L120" s="103"/>
      <c r="M120" s="105"/>
    </row>
    <row r="121" spans="1:13" s="139" customFormat="1" x14ac:dyDescent="0.2">
      <c r="A121" s="47">
        <v>110</v>
      </c>
      <c r="B121" s="138" t="s">
        <v>185</v>
      </c>
      <c r="C121" s="41" t="s">
        <v>186</v>
      </c>
      <c r="D121" s="117"/>
      <c r="E121" s="117"/>
      <c r="F121" s="103"/>
      <c r="G121" s="103"/>
      <c r="H121" s="103"/>
      <c r="I121" s="103"/>
      <c r="J121" s="103"/>
      <c r="K121" s="118"/>
      <c r="L121" s="103"/>
      <c r="M121" s="105"/>
    </row>
    <row r="122" spans="1:13" s="139" customFormat="1" x14ac:dyDescent="0.2">
      <c r="A122" s="47">
        <v>111</v>
      </c>
      <c r="B122" s="138" t="s">
        <v>187</v>
      </c>
      <c r="C122" s="56" t="s">
        <v>188</v>
      </c>
      <c r="D122" s="117"/>
      <c r="E122" s="117"/>
      <c r="F122" s="103"/>
      <c r="G122" s="103"/>
      <c r="H122" s="103"/>
      <c r="I122" s="103"/>
      <c r="J122" s="103"/>
      <c r="K122" s="104"/>
      <c r="L122" s="103"/>
      <c r="M122" s="105"/>
    </row>
    <row r="123" spans="1:13" s="139" customFormat="1" x14ac:dyDescent="0.2">
      <c r="A123" s="47">
        <v>112</v>
      </c>
      <c r="B123" s="138" t="s">
        <v>189</v>
      </c>
      <c r="C123" s="56" t="s">
        <v>190</v>
      </c>
      <c r="D123" s="117"/>
      <c r="E123" s="117"/>
      <c r="F123" s="103"/>
      <c r="G123" s="103"/>
      <c r="H123" s="103"/>
      <c r="I123" s="103"/>
      <c r="J123" s="103"/>
      <c r="K123" s="104"/>
      <c r="L123" s="103"/>
      <c r="M123" s="105"/>
    </row>
    <row r="124" spans="1:13" s="139" customFormat="1" x14ac:dyDescent="0.2">
      <c r="A124" s="47">
        <v>113</v>
      </c>
      <c r="B124" s="138" t="s">
        <v>191</v>
      </c>
      <c r="C124" s="41" t="s">
        <v>192</v>
      </c>
      <c r="D124" s="117"/>
      <c r="E124" s="117"/>
      <c r="F124" s="103"/>
      <c r="G124" s="103"/>
      <c r="H124" s="103"/>
      <c r="I124" s="103"/>
      <c r="J124" s="103"/>
      <c r="K124" s="104"/>
      <c r="L124" s="103"/>
      <c r="M124" s="105"/>
    </row>
    <row r="125" spans="1:13" s="139" customFormat="1" x14ac:dyDescent="0.2">
      <c r="A125" s="47">
        <v>114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103"/>
      <c r="M125" s="105"/>
    </row>
    <row r="126" spans="1:13" s="139" customFormat="1" x14ac:dyDescent="0.2">
      <c r="A126" s="47">
        <v>115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103"/>
      <c r="M126" s="105"/>
    </row>
    <row r="127" spans="1:13" s="139" customFormat="1" x14ac:dyDescent="0.2">
      <c r="A127" s="47">
        <v>116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103"/>
      <c r="M127" s="105"/>
    </row>
    <row r="128" spans="1:13" s="139" customFormat="1" x14ac:dyDescent="0.2">
      <c r="A128" s="47">
        <v>117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103"/>
      <c r="M128" s="105"/>
    </row>
    <row r="129" spans="1:15" s="139" customFormat="1" x14ac:dyDescent="0.2">
      <c r="A129" s="47">
        <v>118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103"/>
      <c r="M129" s="105"/>
    </row>
    <row r="130" spans="1:15" s="139" customFormat="1" x14ac:dyDescent="0.2">
      <c r="A130" s="47">
        <v>119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103"/>
      <c r="M130" s="105"/>
    </row>
    <row r="131" spans="1:15" s="139" customFormat="1" x14ac:dyDescent="0.2">
      <c r="A131" s="47">
        <v>120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103"/>
      <c r="M131" s="105"/>
    </row>
    <row r="132" spans="1:15" s="4" customFormat="1" x14ac:dyDescent="0.2">
      <c r="A132" s="47">
        <v>121</v>
      </c>
      <c r="B132" s="140" t="s">
        <v>206</v>
      </c>
      <c r="C132" s="56" t="s">
        <v>207</v>
      </c>
      <c r="D132" s="114"/>
      <c r="E132" s="114"/>
      <c r="F132" s="103">
        <f t="shared" ref="F132:J133" si="3">F133</f>
        <v>0</v>
      </c>
      <c r="G132" s="103">
        <f t="shared" si="3"/>
        <v>0</v>
      </c>
      <c r="H132" s="103">
        <f t="shared" si="3"/>
        <v>0</v>
      </c>
      <c r="I132" s="103">
        <f t="shared" si="3"/>
        <v>0</v>
      </c>
      <c r="J132" s="103">
        <f t="shared" si="3"/>
        <v>0</v>
      </c>
      <c r="K132" s="104"/>
      <c r="L132" s="103"/>
      <c r="M132" s="105"/>
    </row>
    <row r="133" spans="1:15" s="4" customFormat="1" x14ac:dyDescent="0.2">
      <c r="A133" s="47">
        <v>122</v>
      </c>
      <c r="B133" s="55" t="s">
        <v>208</v>
      </c>
      <c r="C133" s="75">
        <v>71</v>
      </c>
      <c r="D133" s="141"/>
      <c r="E133" s="141"/>
      <c r="F133" s="103">
        <f t="shared" si="3"/>
        <v>0</v>
      </c>
      <c r="G133" s="103">
        <f t="shared" si="3"/>
        <v>0</v>
      </c>
      <c r="H133" s="103">
        <f t="shared" si="3"/>
        <v>0</v>
      </c>
      <c r="I133" s="103">
        <f t="shared" si="3"/>
        <v>0</v>
      </c>
      <c r="J133" s="103">
        <f t="shared" si="3"/>
        <v>0</v>
      </c>
      <c r="K133" s="104"/>
      <c r="L133" s="103"/>
      <c r="M133" s="105"/>
    </row>
    <row r="134" spans="1:15" s="4" customFormat="1" x14ac:dyDescent="0.2">
      <c r="A134" s="47">
        <v>123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x14ac:dyDescent="0.2">
      <c r="A135" s="47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x14ac:dyDescent="0.2">
      <c r="A136" s="47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x14ac:dyDescent="0.2">
      <c r="A137" s="47">
        <v>126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x14ac:dyDescent="0.2">
      <c r="A138" s="47">
        <v>127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x14ac:dyDescent="0.2">
      <c r="A139" s="47">
        <v>128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32" t="s">
        <v>228</v>
      </c>
      <c r="K143" s="1132"/>
      <c r="L143" s="1132"/>
      <c r="M143" s="1132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32"/>
      <c r="J146" s="1132"/>
      <c r="K146" s="1132"/>
      <c r="L146" s="1132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E9:E10"/>
    <mergeCell ref="F9:F10"/>
    <mergeCell ref="G9:J9"/>
    <mergeCell ref="K9:M9"/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</mergeCells>
  <pageMargins left="0.31527777777777777" right="0.11805555555555555" top="0.19652777777777777" bottom="0.15763888888888888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AD18-0D3A-4FD1-8E2A-727819FB3A30}">
  <sheetPr>
    <pageSetUpPr fitToPage="1"/>
  </sheetPr>
  <dimension ref="A1:P148"/>
  <sheetViews>
    <sheetView workbookViewId="0">
      <selection activeCell="C142" sqref="C142:F143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2.28515625" style="1" customWidth="1"/>
    <col min="5" max="5" width="9" style="1" hidden="1" customWidth="1"/>
    <col min="6" max="6" width="8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ht="12.75" customHeight="1" x14ac:dyDescent="0.2">
      <c r="B6" s="1119" t="s">
        <v>258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ht="12.75" customHeight="1" x14ac:dyDescent="0.2">
      <c r="B7" s="1164" t="s">
        <v>259</v>
      </c>
      <c r="C7" s="1164"/>
      <c r="D7" s="1164"/>
      <c r="E7" s="1164"/>
      <c r="F7" s="1164"/>
      <c r="G7" s="1164"/>
      <c r="H7" s="1164"/>
      <c r="I7" s="1164"/>
      <c r="J7" s="9"/>
      <c r="K7" s="9"/>
      <c r="L7" s="9"/>
      <c r="M7" s="9"/>
    </row>
    <row r="8" spans="1:14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379</v>
      </c>
      <c r="E9" s="1165"/>
      <c r="F9" s="1166" t="s">
        <v>380</v>
      </c>
      <c r="G9" s="1161" t="s">
        <v>12</v>
      </c>
      <c r="H9" s="1161"/>
      <c r="I9" s="1161"/>
      <c r="J9" s="1161"/>
      <c r="K9" s="1162" t="s">
        <v>13</v>
      </c>
      <c r="L9" s="1162"/>
      <c r="M9" s="1163"/>
    </row>
    <row r="10" spans="1:14" s="4" customFormat="1" ht="48" customHeight="1" thickBot="1" x14ac:dyDescent="0.25">
      <c r="A10" s="1135"/>
      <c r="B10" s="1137"/>
      <c r="C10" s="1124"/>
      <c r="D10" s="1126"/>
      <c r="E10" s="1157"/>
      <c r="F10" s="1158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306">
        <f>D12</f>
        <v>0</v>
      </c>
      <c r="E11" s="306">
        <f>E12</f>
        <v>0</v>
      </c>
      <c r="F11" s="319">
        <f>F12+F118</f>
        <v>300</v>
      </c>
      <c r="G11" s="319">
        <f>G12+G118</f>
        <v>270</v>
      </c>
      <c r="H11" s="319">
        <f>H12+H118</f>
        <v>10</v>
      </c>
      <c r="I11" s="319">
        <f>I12+I118</f>
        <v>10</v>
      </c>
      <c r="J11" s="319">
        <f>J12+J118</f>
        <v>10</v>
      </c>
      <c r="K11" s="21">
        <f t="shared" ref="K11:M12" si="0">K12</f>
        <v>303.60000000000002</v>
      </c>
      <c r="L11" s="22">
        <f t="shared" si="0"/>
        <v>304.49999999999994</v>
      </c>
      <c r="M11" s="774">
        <f t="shared" si="0"/>
        <v>305.39999999999998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300</v>
      </c>
      <c r="G12" s="26">
        <f>G13</f>
        <v>270</v>
      </c>
      <c r="H12" s="26">
        <f>H13</f>
        <v>10</v>
      </c>
      <c r="I12" s="26">
        <f>I13</f>
        <v>10</v>
      </c>
      <c r="J12" s="27">
        <f>J13</f>
        <v>10</v>
      </c>
      <c r="K12" s="28">
        <f t="shared" si="0"/>
        <v>303.60000000000002</v>
      </c>
      <c r="L12" s="29">
        <f t="shared" si="0"/>
        <v>304.49999999999994</v>
      </c>
      <c r="M12" s="776">
        <f t="shared" si="0"/>
        <v>305.39999999999998</v>
      </c>
    </row>
    <row r="13" spans="1:14" s="4" customFormat="1" ht="12.75" customHeight="1" x14ac:dyDescent="0.2">
      <c r="A13" s="689">
        <v>3</v>
      </c>
      <c r="B13" s="157" t="s">
        <v>21</v>
      </c>
      <c r="C13" s="75" t="s">
        <v>22</v>
      </c>
      <c r="D13" s="53">
        <f>D92</f>
        <v>0</v>
      </c>
      <c r="E13" s="53">
        <f>E92</f>
        <v>0</v>
      </c>
      <c r="F13" s="43">
        <f>F14+F34+F92+F112</f>
        <v>300</v>
      </c>
      <c r="G13" s="43">
        <f>G14+G34+G92+G112</f>
        <v>270</v>
      </c>
      <c r="H13" s="43">
        <f>H14+H34+H92+H112</f>
        <v>10</v>
      </c>
      <c r="I13" s="43">
        <f>I14+I34+I92+I112</f>
        <v>10</v>
      </c>
      <c r="J13" s="43">
        <f>J14+J34+J92+J112</f>
        <v>10</v>
      </c>
      <c r="K13" s="57">
        <f>K92</f>
        <v>303.60000000000002</v>
      </c>
      <c r="L13" s="58">
        <f>L92</f>
        <v>304.49999999999994</v>
      </c>
      <c r="M13" s="863">
        <f>M92</f>
        <v>305.39999999999998</v>
      </c>
    </row>
    <row r="14" spans="1:14" s="4" customFormat="1" ht="12.75" hidden="1" customHeight="1" x14ac:dyDescent="0.2">
      <c r="A14" s="679">
        <v>4</v>
      </c>
      <c r="B14" s="160" t="s">
        <v>23</v>
      </c>
      <c r="C14" s="161" t="s">
        <v>24</v>
      </c>
      <c r="D14" s="53">
        <v>0</v>
      </c>
      <c r="E14" s="53">
        <v>0</v>
      </c>
      <c r="F14" s="43">
        <f>F15+F20+F26</f>
        <v>0</v>
      </c>
      <c r="G14" s="43">
        <f>G15+G20+G26</f>
        <v>0</v>
      </c>
      <c r="H14" s="43">
        <f>H15+H20+H26</f>
        <v>0</v>
      </c>
      <c r="I14" s="43">
        <f>I15+I20+I26</f>
        <v>0</v>
      </c>
      <c r="J14" s="43">
        <f>J15+J20+J26</f>
        <v>0</v>
      </c>
      <c r="K14" s="57"/>
      <c r="L14" s="58"/>
      <c r="M14" s="863"/>
    </row>
    <row r="15" spans="1:14" s="4" customFormat="1" ht="12.75" hidden="1" customHeight="1" x14ac:dyDescent="0.2">
      <c r="A15" s="689">
        <v>5</v>
      </c>
      <c r="B15" s="55" t="s">
        <v>25</v>
      </c>
      <c r="C15" s="161" t="s">
        <v>26</v>
      </c>
      <c r="D15" s="53">
        <v>0</v>
      </c>
      <c r="E15" s="53"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57"/>
      <c r="L15" s="58"/>
      <c r="M15" s="863"/>
    </row>
    <row r="16" spans="1:14" s="4" customFormat="1" ht="12.75" hidden="1" customHeight="1" x14ac:dyDescent="0.2">
      <c r="A16" s="679">
        <v>6</v>
      </c>
      <c r="B16" s="40" t="s">
        <v>27</v>
      </c>
      <c r="C16" s="41" t="s">
        <v>28</v>
      </c>
      <c r="D16" s="42">
        <v>0</v>
      </c>
      <c r="E16" s="42"/>
      <c r="F16" s="44"/>
      <c r="G16" s="44"/>
      <c r="H16" s="44"/>
      <c r="I16" s="44"/>
      <c r="J16" s="44"/>
      <c r="K16" s="45"/>
      <c r="L16" s="46"/>
      <c r="M16" s="872"/>
    </row>
    <row r="17" spans="1:16" s="4" customFormat="1" ht="12.75" hidden="1" customHeight="1" x14ac:dyDescent="0.2">
      <c r="A17" s="689">
        <v>7</v>
      </c>
      <c r="B17" s="40" t="s">
        <v>29</v>
      </c>
      <c r="C17" s="41" t="s">
        <v>30</v>
      </c>
      <c r="D17" s="42"/>
      <c r="E17" s="42"/>
      <c r="F17" s="44"/>
      <c r="G17" s="44"/>
      <c r="H17" s="44"/>
      <c r="I17" s="44"/>
      <c r="J17" s="44"/>
      <c r="K17" s="45"/>
      <c r="L17" s="46"/>
      <c r="M17" s="872"/>
      <c r="P17" s="48"/>
    </row>
    <row r="18" spans="1:16" s="4" customFormat="1" ht="12.75" hidden="1" customHeight="1" x14ac:dyDescent="0.2">
      <c r="A18" s="679">
        <v>8</v>
      </c>
      <c r="B18" s="40" t="s">
        <v>31</v>
      </c>
      <c r="C18" s="41" t="s">
        <v>32</v>
      </c>
      <c r="D18" s="42"/>
      <c r="E18" s="42"/>
      <c r="F18" s="44"/>
      <c r="G18" s="44"/>
      <c r="H18" s="44"/>
      <c r="I18" s="44">
        <v>0</v>
      </c>
      <c r="J18" s="44"/>
      <c r="K18" s="45"/>
      <c r="L18" s="46"/>
      <c r="M18" s="872"/>
      <c r="P18" s="48"/>
    </row>
    <row r="19" spans="1:16" s="4" customFormat="1" ht="12.75" hidden="1" customHeight="1" x14ac:dyDescent="0.2">
      <c r="A19" s="689">
        <v>9</v>
      </c>
      <c r="B19" s="320" t="s">
        <v>33</v>
      </c>
      <c r="C19" s="7" t="s">
        <v>34</v>
      </c>
      <c r="D19" s="321"/>
      <c r="E19" s="321"/>
      <c r="F19" s="44"/>
      <c r="G19" s="44"/>
      <c r="H19" s="44"/>
      <c r="I19" s="44"/>
      <c r="J19" s="44"/>
      <c r="K19" s="45"/>
      <c r="L19" s="46"/>
      <c r="M19" s="872"/>
      <c r="P19" s="48"/>
    </row>
    <row r="20" spans="1:16" s="4" customFormat="1" ht="12.75" hidden="1" customHeight="1" x14ac:dyDescent="0.2">
      <c r="A20" s="679">
        <v>10</v>
      </c>
      <c r="B20" s="40" t="s">
        <v>35</v>
      </c>
      <c r="C20" s="41" t="s">
        <v>36</v>
      </c>
      <c r="D20" s="42"/>
      <c r="E20" s="42"/>
      <c r="F20" s="44">
        <f>F21</f>
        <v>0</v>
      </c>
      <c r="G20" s="44">
        <f>G21</f>
        <v>0</v>
      </c>
      <c r="H20" s="44">
        <f>H21</f>
        <v>0</v>
      </c>
      <c r="I20" s="44">
        <f>I21</f>
        <v>0</v>
      </c>
      <c r="J20" s="44">
        <f>J21</f>
        <v>0</v>
      </c>
      <c r="K20" s="45"/>
      <c r="L20" s="46"/>
      <c r="M20" s="872"/>
      <c r="P20" s="48"/>
    </row>
    <row r="21" spans="1:16" s="4" customFormat="1" ht="12.75" hidden="1" customHeight="1" x14ac:dyDescent="0.2">
      <c r="A21" s="689">
        <v>11</v>
      </c>
      <c r="B21" s="40" t="s">
        <v>37</v>
      </c>
      <c r="C21" s="41" t="s">
        <v>38</v>
      </c>
      <c r="D21" s="42"/>
      <c r="E21" s="42"/>
      <c r="F21" s="44"/>
      <c r="G21" s="44"/>
      <c r="H21" s="44"/>
      <c r="I21" s="44"/>
      <c r="J21" s="44"/>
      <c r="K21" s="45"/>
      <c r="L21" s="46"/>
      <c r="M21" s="872"/>
      <c r="P21" s="48"/>
    </row>
    <row r="22" spans="1:16" s="4" customFormat="1" ht="12.75" hidden="1" customHeight="1" x14ac:dyDescent="0.2">
      <c r="A22" s="820"/>
      <c r="B22" s="40" t="s">
        <v>39</v>
      </c>
      <c r="C22" s="41" t="s">
        <v>40</v>
      </c>
      <c r="D22" s="42"/>
      <c r="E22" s="42"/>
      <c r="F22" s="44"/>
      <c r="G22" s="44"/>
      <c r="H22" s="44"/>
      <c r="I22" s="44"/>
      <c r="J22" s="44"/>
      <c r="K22" s="45"/>
      <c r="L22" s="46"/>
      <c r="M22" s="872"/>
      <c r="P22" s="48"/>
    </row>
    <row r="23" spans="1:16" s="4" customFormat="1" ht="12.75" hidden="1" customHeight="1" x14ac:dyDescent="0.2">
      <c r="A23" s="679">
        <v>12</v>
      </c>
      <c r="B23" s="40" t="s">
        <v>230</v>
      </c>
      <c r="C23" s="54" t="s">
        <v>231</v>
      </c>
      <c r="D23" s="42"/>
      <c r="E23" s="42"/>
      <c r="F23" s="44"/>
      <c r="G23" s="44"/>
      <c r="H23" s="44"/>
      <c r="I23" s="44"/>
      <c r="J23" s="44"/>
      <c r="K23" s="45"/>
      <c r="L23" s="46"/>
      <c r="M23" s="872"/>
      <c r="P23" s="48"/>
    </row>
    <row r="24" spans="1:16" s="4" customFormat="1" ht="12.75" hidden="1" customHeight="1" x14ac:dyDescent="0.2">
      <c r="A24" s="689">
        <v>13</v>
      </c>
      <c r="B24" s="40" t="s">
        <v>41</v>
      </c>
      <c r="C24" s="52" t="s">
        <v>42</v>
      </c>
      <c r="D24" s="53">
        <v>0</v>
      </c>
      <c r="E24" s="53">
        <v>0</v>
      </c>
      <c r="F24" s="44"/>
      <c r="G24" s="44"/>
      <c r="H24" s="44"/>
      <c r="I24" s="44"/>
      <c r="J24" s="44"/>
      <c r="K24" s="45"/>
      <c r="L24" s="46"/>
      <c r="M24" s="872"/>
      <c r="P24" s="48"/>
    </row>
    <row r="25" spans="1:16" s="4" customFormat="1" ht="12.75" hidden="1" customHeight="1" x14ac:dyDescent="0.2">
      <c r="A25" s="679">
        <v>14</v>
      </c>
      <c r="B25" s="40" t="s">
        <v>43</v>
      </c>
      <c r="C25" s="54" t="s">
        <v>44</v>
      </c>
      <c r="D25" s="42">
        <v>0</v>
      </c>
      <c r="E25" s="42">
        <v>0</v>
      </c>
      <c r="F25" s="44"/>
      <c r="G25" s="44"/>
      <c r="H25" s="44"/>
      <c r="I25" s="44"/>
      <c r="J25" s="44"/>
      <c r="K25" s="45"/>
      <c r="L25" s="46"/>
      <c r="M25" s="872"/>
      <c r="P25" s="48"/>
    </row>
    <row r="26" spans="1:16" s="4" customFormat="1" ht="12.75" hidden="1" customHeight="1" x14ac:dyDescent="0.2">
      <c r="A26" s="689">
        <v>15</v>
      </c>
      <c r="B26" s="55" t="s">
        <v>45</v>
      </c>
      <c r="C26" s="56" t="s">
        <v>46</v>
      </c>
      <c r="D26" s="53">
        <v>0</v>
      </c>
      <c r="E26" s="53"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57"/>
      <c r="L26" s="58"/>
      <c r="M26" s="863"/>
    </row>
    <row r="27" spans="1:16" s="4" customFormat="1" ht="12.75" hidden="1" customHeight="1" x14ac:dyDescent="0.2">
      <c r="A27" s="679">
        <v>16</v>
      </c>
      <c r="B27" s="59" t="s">
        <v>47</v>
      </c>
      <c r="C27" s="41" t="s">
        <v>48</v>
      </c>
      <c r="D27" s="42"/>
      <c r="E27" s="42"/>
      <c r="F27" s="44"/>
      <c r="G27" s="44"/>
      <c r="H27" s="44"/>
      <c r="I27" s="44"/>
      <c r="J27" s="44"/>
      <c r="K27" s="45"/>
      <c r="L27" s="46"/>
      <c r="M27" s="872"/>
    </row>
    <row r="28" spans="1:16" s="4" customFormat="1" ht="12.75" hidden="1" customHeight="1" x14ac:dyDescent="0.2">
      <c r="A28" s="689">
        <v>17</v>
      </c>
      <c r="B28" s="59" t="s">
        <v>49</v>
      </c>
      <c r="C28" s="41" t="s">
        <v>50</v>
      </c>
      <c r="D28" s="42"/>
      <c r="E28" s="42"/>
      <c r="F28" s="44"/>
      <c r="G28" s="44"/>
      <c r="H28" s="44"/>
      <c r="I28" s="44"/>
      <c r="J28" s="44"/>
      <c r="K28" s="45"/>
      <c r="L28" s="46"/>
      <c r="M28" s="872"/>
    </row>
    <row r="29" spans="1:16" s="4" customFormat="1" ht="12.75" hidden="1" customHeight="1" x14ac:dyDescent="0.2">
      <c r="A29" s="679">
        <v>18</v>
      </c>
      <c r="B29" s="59" t="s">
        <v>51</v>
      </c>
      <c r="C29" s="41" t="s">
        <v>52</v>
      </c>
      <c r="D29" s="42"/>
      <c r="E29" s="42"/>
      <c r="F29" s="44"/>
      <c r="G29" s="44"/>
      <c r="H29" s="44"/>
      <c r="I29" s="44"/>
      <c r="J29" s="44"/>
      <c r="K29" s="45"/>
      <c r="L29" s="46"/>
      <c r="M29" s="872"/>
    </row>
    <row r="30" spans="1:16" s="4" customFormat="1" ht="25.5" hidden="1" customHeight="1" x14ac:dyDescent="0.2">
      <c r="A30" s="689">
        <v>19</v>
      </c>
      <c r="B30" s="60" t="s">
        <v>53</v>
      </c>
      <c r="C30" s="61" t="s">
        <v>54</v>
      </c>
      <c r="D30" s="42"/>
      <c r="E30" s="42"/>
      <c r="F30" s="44"/>
      <c r="G30" s="44"/>
      <c r="H30" s="44"/>
      <c r="I30" s="44"/>
      <c r="J30" s="44"/>
      <c r="K30" s="45"/>
      <c r="L30" s="46"/>
      <c r="M30" s="872"/>
    </row>
    <row r="31" spans="1:16" s="4" customFormat="1" ht="12.75" hidden="1" customHeight="1" x14ac:dyDescent="0.2">
      <c r="A31" s="679">
        <v>20</v>
      </c>
      <c r="B31" s="59" t="s">
        <v>55</v>
      </c>
      <c r="C31" s="41" t="s">
        <v>56</v>
      </c>
      <c r="D31" s="42"/>
      <c r="E31" s="42"/>
      <c r="F31" s="44"/>
      <c r="G31" s="44"/>
      <c r="H31" s="44"/>
      <c r="I31" s="44"/>
      <c r="J31" s="44"/>
      <c r="K31" s="45"/>
      <c r="L31" s="46"/>
      <c r="M31" s="872"/>
    </row>
    <row r="32" spans="1:16" s="4" customFormat="1" ht="12.75" hidden="1" customHeight="1" x14ac:dyDescent="0.2">
      <c r="A32" s="689">
        <v>21</v>
      </c>
      <c r="B32" s="59" t="s">
        <v>57</v>
      </c>
      <c r="C32" s="41" t="s">
        <v>58</v>
      </c>
      <c r="D32" s="42">
        <v>0</v>
      </c>
      <c r="E32" s="42">
        <v>0</v>
      </c>
      <c r="F32" s="44"/>
      <c r="G32" s="44"/>
      <c r="H32" s="44"/>
      <c r="I32" s="44"/>
      <c r="J32" s="44"/>
      <c r="K32" s="45"/>
      <c r="L32" s="46"/>
      <c r="M32" s="872"/>
    </row>
    <row r="33" spans="1:13" s="4" customFormat="1" ht="12.75" hidden="1" customHeight="1" x14ac:dyDescent="0.2">
      <c r="A33" s="679">
        <v>22</v>
      </c>
      <c r="B33" s="59" t="s">
        <v>59</v>
      </c>
      <c r="C33" s="41" t="s">
        <v>60</v>
      </c>
      <c r="D33" s="42">
        <v>0</v>
      </c>
      <c r="E33" s="42">
        <v>0</v>
      </c>
      <c r="F33" s="44"/>
      <c r="G33" s="44"/>
      <c r="H33" s="44"/>
      <c r="I33" s="44"/>
      <c r="J33" s="44"/>
      <c r="K33" s="45"/>
      <c r="L33" s="46"/>
      <c r="M33" s="872"/>
    </row>
    <row r="34" spans="1:13" s="4" customFormat="1" ht="25.5" hidden="1" customHeight="1" x14ac:dyDescent="0.2">
      <c r="A34" s="689">
        <v>23</v>
      </c>
      <c r="B34" s="169" t="s">
        <v>61</v>
      </c>
      <c r="C34" s="170">
        <v>20</v>
      </c>
      <c r="D34" s="171">
        <v>0</v>
      </c>
      <c r="E34" s="171"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57"/>
      <c r="L34" s="58"/>
      <c r="M34" s="863"/>
    </row>
    <row r="35" spans="1:13" s="4" customFormat="1" ht="12.75" hidden="1" customHeight="1" x14ac:dyDescent="0.2">
      <c r="A35" s="679">
        <v>24</v>
      </c>
      <c r="B35" s="160" t="s">
        <v>62</v>
      </c>
      <c r="C35" s="56" t="s">
        <v>63</v>
      </c>
      <c r="D35" s="53">
        <v>0</v>
      </c>
      <c r="E35" s="53">
        <v>0</v>
      </c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57"/>
      <c r="L35" s="58"/>
      <c r="M35" s="863"/>
    </row>
    <row r="36" spans="1:13" s="4" customFormat="1" ht="12.75" hidden="1" customHeight="1" x14ac:dyDescent="0.2">
      <c r="A36" s="689">
        <v>25</v>
      </c>
      <c r="B36" s="55" t="s">
        <v>64</v>
      </c>
      <c r="C36" s="56" t="s">
        <v>65</v>
      </c>
      <c r="D36" s="53"/>
      <c r="E36" s="53"/>
      <c r="F36" s="44">
        <f>F37+F38+F39</f>
        <v>0</v>
      </c>
      <c r="G36" s="44">
        <f>G37+G38+G39</f>
        <v>0</v>
      </c>
      <c r="H36" s="44">
        <f>H37+H38+H39</f>
        <v>0</v>
      </c>
      <c r="I36" s="44">
        <f>I37+I38+I39</f>
        <v>0</v>
      </c>
      <c r="J36" s="44">
        <f>J37+J38+J39</f>
        <v>0</v>
      </c>
      <c r="K36" s="45"/>
      <c r="L36" s="46"/>
      <c r="M36" s="872"/>
    </row>
    <row r="37" spans="1:13" s="4" customFormat="1" ht="12.75" hidden="1" customHeight="1" x14ac:dyDescent="0.2">
      <c r="A37" s="679">
        <v>26</v>
      </c>
      <c r="B37" s="59" t="s">
        <v>64</v>
      </c>
      <c r="C37" s="41"/>
      <c r="D37" s="42"/>
      <c r="E37" s="42"/>
      <c r="F37" s="44"/>
      <c r="G37" s="44"/>
      <c r="H37" s="44"/>
      <c r="I37" s="44"/>
      <c r="J37" s="44"/>
      <c r="K37" s="45"/>
      <c r="L37" s="46"/>
      <c r="M37" s="872"/>
    </row>
    <row r="38" spans="1:13" s="4" customFormat="1" ht="12.75" hidden="1" customHeight="1" x14ac:dyDescent="0.2">
      <c r="A38" s="689">
        <v>27</v>
      </c>
      <c r="B38" s="59" t="s">
        <v>66</v>
      </c>
      <c r="C38" s="41"/>
      <c r="D38" s="42"/>
      <c r="E38" s="42"/>
      <c r="F38" s="44"/>
      <c r="G38" s="44"/>
      <c r="H38" s="44"/>
      <c r="I38" s="44"/>
      <c r="J38" s="44"/>
      <c r="K38" s="45"/>
      <c r="L38" s="46"/>
      <c r="M38" s="872"/>
    </row>
    <row r="39" spans="1:13" s="4" customFormat="1" ht="12.75" hidden="1" customHeight="1" x14ac:dyDescent="0.2">
      <c r="A39" s="679">
        <v>28</v>
      </c>
      <c r="B39" s="59" t="s">
        <v>67</v>
      </c>
      <c r="C39" s="41"/>
      <c r="D39" s="42"/>
      <c r="E39" s="42"/>
      <c r="F39" s="44"/>
      <c r="G39" s="44"/>
      <c r="H39" s="44"/>
      <c r="I39" s="44"/>
      <c r="J39" s="44"/>
      <c r="K39" s="45"/>
      <c r="L39" s="46"/>
      <c r="M39" s="872"/>
    </row>
    <row r="40" spans="1:13" s="4" customFormat="1" ht="12.75" hidden="1" customHeight="1" x14ac:dyDescent="0.2">
      <c r="A40" s="689">
        <v>29</v>
      </c>
      <c r="B40" s="55" t="s">
        <v>68</v>
      </c>
      <c r="C40" s="56" t="s">
        <v>69</v>
      </c>
      <c r="D40" s="53"/>
      <c r="E40" s="53"/>
      <c r="F40" s="44">
        <f>F41+F42</f>
        <v>0</v>
      </c>
      <c r="G40" s="44">
        <f>G41+G42</f>
        <v>0</v>
      </c>
      <c r="H40" s="44">
        <f>H41+H42</f>
        <v>0</v>
      </c>
      <c r="I40" s="44">
        <f>I41+I42</f>
        <v>0</v>
      </c>
      <c r="J40" s="44">
        <f>J41+J42</f>
        <v>0</v>
      </c>
      <c r="K40" s="45"/>
      <c r="L40" s="46"/>
      <c r="M40" s="872"/>
    </row>
    <row r="41" spans="1:13" s="4" customFormat="1" ht="12.75" hidden="1" customHeight="1" x14ac:dyDescent="0.2">
      <c r="A41" s="679">
        <v>30</v>
      </c>
      <c r="B41" s="59" t="s">
        <v>70</v>
      </c>
      <c r="C41" s="56"/>
      <c r="D41" s="53"/>
      <c r="E41" s="53"/>
      <c r="F41" s="44"/>
      <c r="G41" s="44"/>
      <c r="H41" s="44"/>
      <c r="I41" s="44"/>
      <c r="J41" s="44"/>
      <c r="K41" s="45"/>
      <c r="L41" s="46"/>
      <c r="M41" s="872"/>
    </row>
    <row r="42" spans="1:13" s="4" customFormat="1" ht="12.75" hidden="1" customHeight="1" x14ac:dyDescent="0.2">
      <c r="A42" s="689">
        <v>31</v>
      </c>
      <c r="B42" s="59" t="s">
        <v>71</v>
      </c>
      <c r="C42" s="56"/>
      <c r="D42" s="53"/>
      <c r="E42" s="53"/>
      <c r="F42" s="44"/>
      <c r="G42" s="44"/>
      <c r="H42" s="44"/>
      <c r="I42" s="44"/>
      <c r="J42" s="44"/>
      <c r="K42" s="45"/>
      <c r="L42" s="46"/>
      <c r="M42" s="872"/>
    </row>
    <row r="43" spans="1:13" s="4" customFormat="1" ht="12.75" hidden="1" customHeight="1" x14ac:dyDescent="0.2">
      <c r="A43" s="679">
        <v>32</v>
      </c>
      <c r="B43" s="59" t="s">
        <v>72</v>
      </c>
      <c r="C43" s="41" t="s">
        <v>73</v>
      </c>
      <c r="D43" s="42"/>
      <c r="E43" s="42"/>
      <c r="F43" s="44"/>
      <c r="G43" s="44"/>
      <c r="H43" s="44"/>
      <c r="I43" s="44"/>
      <c r="J43" s="44"/>
      <c r="K43" s="45"/>
      <c r="L43" s="46"/>
      <c r="M43" s="872"/>
    </row>
    <row r="44" spans="1:13" s="4" customFormat="1" ht="12.75" hidden="1" customHeight="1" x14ac:dyDescent="0.2">
      <c r="A44" s="689">
        <v>33</v>
      </c>
      <c r="B44" s="59" t="s">
        <v>74</v>
      </c>
      <c r="C44" s="41" t="s">
        <v>75</v>
      </c>
      <c r="D44" s="42"/>
      <c r="E44" s="42"/>
      <c r="F44" s="44"/>
      <c r="G44" s="44"/>
      <c r="H44" s="44"/>
      <c r="I44" s="44"/>
      <c r="J44" s="44"/>
      <c r="K44" s="45"/>
      <c r="L44" s="46"/>
      <c r="M44" s="872"/>
    </row>
    <row r="45" spans="1:13" s="4" customFormat="1" ht="12.75" hidden="1" customHeight="1" x14ac:dyDescent="0.2">
      <c r="A45" s="679">
        <v>34</v>
      </c>
      <c r="B45" s="59" t="s">
        <v>76</v>
      </c>
      <c r="C45" s="41" t="s">
        <v>77</v>
      </c>
      <c r="D45" s="42"/>
      <c r="E45" s="42"/>
      <c r="F45" s="44"/>
      <c r="G45" s="44"/>
      <c r="H45" s="44"/>
      <c r="I45" s="44"/>
      <c r="J45" s="44"/>
      <c r="K45" s="45"/>
      <c r="L45" s="46"/>
      <c r="M45" s="872"/>
    </row>
    <row r="46" spans="1:13" s="4" customFormat="1" ht="12.75" hidden="1" customHeight="1" x14ac:dyDescent="0.2">
      <c r="A46" s="689">
        <v>35</v>
      </c>
      <c r="B46" s="59" t="s">
        <v>78</v>
      </c>
      <c r="C46" s="41" t="s">
        <v>79</v>
      </c>
      <c r="D46" s="42"/>
      <c r="E46" s="42"/>
      <c r="F46" s="44"/>
      <c r="G46" s="44"/>
      <c r="H46" s="44"/>
      <c r="I46" s="44"/>
      <c r="J46" s="44"/>
      <c r="K46" s="45"/>
      <c r="L46" s="46"/>
      <c r="M46" s="872"/>
    </row>
    <row r="47" spans="1:13" s="4" customFormat="1" ht="12.75" hidden="1" customHeight="1" x14ac:dyDescent="0.2">
      <c r="A47" s="679">
        <v>36</v>
      </c>
      <c r="B47" s="59" t="s">
        <v>80</v>
      </c>
      <c r="C47" s="41" t="s">
        <v>81</v>
      </c>
      <c r="D47" s="42"/>
      <c r="E47" s="42"/>
      <c r="F47" s="44">
        <f>F48+F49</f>
        <v>0</v>
      </c>
      <c r="G47" s="44">
        <f>G48+G49</f>
        <v>0</v>
      </c>
      <c r="H47" s="44">
        <f>H48+H49</f>
        <v>0</v>
      </c>
      <c r="I47" s="44">
        <f>I48+I49</f>
        <v>0</v>
      </c>
      <c r="J47" s="44">
        <f>J48+J49</f>
        <v>0</v>
      </c>
      <c r="K47" s="45"/>
      <c r="L47" s="46"/>
      <c r="M47" s="872"/>
    </row>
    <row r="48" spans="1:13" s="4" customFormat="1" ht="12.75" hidden="1" customHeight="1" x14ac:dyDescent="0.2">
      <c r="A48" s="689">
        <v>37</v>
      </c>
      <c r="B48" s="59" t="s">
        <v>80</v>
      </c>
      <c r="C48" s="41"/>
      <c r="D48" s="42"/>
      <c r="E48" s="42"/>
      <c r="F48" s="44"/>
      <c r="G48" s="44"/>
      <c r="H48" s="44"/>
      <c r="I48" s="44"/>
      <c r="J48" s="44"/>
      <c r="K48" s="45"/>
      <c r="L48" s="46"/>
      <c r="M48" s="872"/>
    </row>
    <row r="49" spans="1:13" s="4" customFormat="1" ht="12.75" hidden="1" customHeight="1" x14ac:dyDescent="0.2">
      <c r="A49" s="679">
        <v>38</v>
      </c>
      <c r="B49" s="59" t="s">
        <v>82</v>
      </c>
      <c r="C49" s="41"/>
      <c r="D49" s="42"/>
      <c r="E49" s="42"/>
      <c r="F49" s="44"/>
      <c r="G49" s="44"/>
      <c r="H49" s="44"/>
      <c r="I49" s="44"/>
      <c r="J49" s="44"/>
      <c r="K49" s="45"/>
      <c r="L49" s="46"/>
      <c r="M49" s="872"/>
    </row>
    <row r="50" spans="1:13" s="4" customFormat="1" ht="12.75" hidden="1" customHeight="1" x14ac:dyDescent="0.2">
      <c r="A50" s="689">
        <v>39</v>
      </c>
      <c r="B50" s="73" t="s">
        <v>83</v>
      </c>
      <c r="C50" s="56" t="s">
        <v>84</v>
      </c>
      <c r="D50" s="53"/>
      <c r="E50" s="53"/>
      <c r="F50" s="44">
        <f>F51+F52</f>
        <v>0</v>
      </c>
      <c r="G50" s="44">
        <f>G51+G52</f>
        <v>0</v>
      </c>
      <c r="H50" s="44">
        <f>H51+H52</f>
        <v>0</v>
      </c>
      <c r="I50" s="44">
        <f>I51+I52</f>
        <v>0</v>
      </c>
      <c r="J50" s="44">
        <f>J51+J52</f>
        <v>0</v>
      </c>
      <c r="K50" s="45"/>
      <c r="L50" s="46"/>
      <c r="M50" s="872"/>
    </row>
    <row r="51" spans="1:13" s="4" customFormat="1" ht="12.75" hidden="1" customHeight="1" x14ac:dyDescent="0.2">
      <c r="A51" s="679">
        <v>40</v>
      </c>
      <c r="B51" s="74" t="s">
        <v>83</v>
      </c>
      <c r="C51" s="41"/>
      <c r="D51" s="42"/>
      <c r="E51" s="42"/>
      <c r="F51" s="44"/>
      <c r="G51" s="44"/>
      <c r="H51" s="44"/>
      <c r="I51" s="44"/>
      <c r="J51" s="44"/>
      <c r="K51" s="45"/>
      <c r="L51" s="46"/>
      <c r="M51" s="872"/>
    </row>
    <row r="52" spans="1:13" s="4" customFormat="1" ht="12.75" hidden="1" customHeight="1" x14ac:dyDescent="0.2">
      <c r="A52" s="689">
        <v>41</v>
      </c>
      <c r="B52" s="74" t="s">
        <v>85</v>
      </c>
      <c r="C52" s="41"/>
      <c r="D52" s="42"/>
      <c r="E52" s="42"/>
      <c r="F52" s="44"/>
      <c r="G52" s="44"/>
      <c r="H52" s="44"/>
      <c r="I52" s="44"/>
      <c r="J52" s="44"/>
      <c r="K52" s="45"/>
      <c r="L52" s="46"/>
      <c r="M52" s="872"/>
    </row>
    <row r="53" spans="1:13" s="4" customFormat="1" ht="12.75" hidden="1" customHeight="1" x14ac:dyDescent="0.2">
      <c r="A53" s="679">
        <v>42</v>
      </c>
      <c r="B53" s="55" t="s">
        <v>86</v>
      </c>
      <c r="C53" s="56" t="s">
        <v>87</v>
      </c>
      <c r="D53" s="53">
        <v>0</v>
      </c>
      <c r="E53" s="53">
        <v>0</v>
      </c>
      <c r="F53" s="44">
        <f>F54+F55+F56</f>
        <v>0</v>
      </c>
      <c r="G53" s="44">
        <f>G54+G55+G56</f>
        <v>0</v>
      </c>
      <c r="H53" s="44">
        <f>H54+H55+H56</f>
        <v>0</v>
      </c>
      <c r="I53" s="44">
        <f>I54+I55+I56</f>
        <v>0</v>
      </c>
      <c r="J53" s="44">
        <f>J54+J55+J56</f>
        <v>0</v>
      </c>
      <c r="K53" s="45"/>
      <c r="L53" s="46"/>
      <c r="M53" s="872"/>
    </row>
    <row r="54" spans="1:13" s="4" customFormat="1" ht="12.75" hidden="1" customHeight="1" x14ac:dyDescent="0.2">
      <c r="A54" s="689">
        <v>43</v>
      </c>
      <c r="B54" s="59" t="s">
        <v>88</v>
      </c>
      <c r="C54" s="41"/>
      <c r="D54" s="42"/>
      <c r="E54" s="42"/>
      <c r="F54" s="44"/>
      <c r="G54" s="44"/>
      <c r="H54" s="44"/>
      <c r="I54" s="44"/>
      <c r="J54" s="44"/>
      <c r="K54" s="45"/>
      <c r="L54" s="46"/>
      <c r="M54" s="872"/>
    </row>
    <row r="55" spans="1:13" s="4" customFormat="1" ht="12.75" hidden="1" customHeight="1" x14ac:dyDescent="0.2">
      <c r="A55" s="679">
        <v>44</v>
      </c>
      <c r="B55" s="59" t="s">
        <v>89</v>
      </c>
      <c r="C55" s="41"/>
      <c r="D55" s="42"/>
      <c r="E55" s="42"/>
      <c r="F55" s="44"/>
      <c r="G55" s="44"/>
      <c r="H55" s="44"/>
      <c r="I55" s="44"/>
      <c r="J55" s="44"/>
      <c r="K55" s="45"/>
      <c r="L55" s="46"/>
      <c r="M55" s="872"/>
    </row>
    <row r="56" spans="1:13" s="4" customFormat="1" ht="12.75" hidden="1" customHeight="1" x14ac:dyDescent="0.2">
      <c r="A56" s="689">
        <v>45</v>
      </c>
      <c r="B56" s="59" t="s">
        <v>233</v>
      </c>
      <c r="C56" s="41"/>
      <c r="D56" s="42"/>
      <c r="E56" s="42"/>
      <c r="F56" s="43"/>
      <c r="G56" s="43"/>
      <c r="H56" s="43"/>
      <c r="I56" s="43"/>
      <c r="J56" s="43"/>
      <c r="K56" s="57"/>
      <c r="L56" s="58"/>
      <c r="M56" s="863"/>
    </row>
    <row r="57" spans="1:13" s="4" customFormat="1" ht="12.75" hidden="1" customHeight="1" x14ac:dyDescent="0.2">
      <c r="A57" s="679">
        <v>46</v>
      </c>
      <c r="B57" s="55" t="s">
        <v>91</v>
      </c>
      <c r="C57" s="75" t="s">
        <v>92</v>
      </c>
      <c r="D57" s="53">
        <v>0</v>
      </c>
      <c r="E57" s="53">
        <v>0</v>
      </c>
      <c r="F57" s="43"/>
      <c r="G57" s="43"/>
      <c r="H57" s="43"/>
      <c r="I57" s="43"/>
      <c r="J57" s="43"/>
      <c r="K57" s="57"/>
      <c r="L57" s="58"/>
      <c r="M57" s="863"/>
    </row>
    <row r="58" spans="1:13" s="4" customFormat="1" ht="12.75" hidden="1" customHeight="1" x14ac:dyDescent="0.2">
      <c r="A58" s="689">
        <v>47</v>
      </c>
      <c r="B58" s="74" t="s">
        <v>93</v>
      </c>
      <c r="C58" s="56" t="s">
        <v>94</v>
      </c>
      <c r="D58" s="53">
        <v>0</v>
      </c>
      <c r="E58" s="53">
        <v>0</v>
      </c>
      <c r="F58" s="43"/>
      <c r="G58" s="43"/>
      <c r="H58" s="43"/>
      <c r="I58" s="43"/>
      <c r="J58" s="43"/>
      <c r="K58" s="57"/>
      <c r="L58" s="58"/>
      <c r="M58" s="863"/>
    </row>
    <row r="59" spans="1:13" s="4" customFormat="1" ht="12.75" hidden="1" customHeight="1" x14ac:dyDescent="0.2">
      <c r="A59" s="679">
        <v>48</v>
      </c>
      <c r="B59" s="55" t="s">
        <v>95</v>
      </c>
      <c r="C59" s="56" t="s">
        <v>96</v>
      </c>
      <c r="D59" s="53">
        <v>0</v>
      </c>
      <c r="E59" s="53">
        <v>0</v>
      </c>
      <c r="F59" s="43">
        <f>F60+F61+F62</f>
        <v>0</v>
      </c>
      <c r="G59" s="43">
        <f>G60+G61+G62</f>
        <v>0</v>
      </c>
      <c r="H59" s="43">
        <f>H60+H61+H62</f>
        <v>0</v>
      </c>
      <c r="I59" s="43">
        <f>I60+I61+I62</f>
        <v>0</v>
      </c>
      <c r="J59" s="43">
        <f>J60+J61+J62</f>
        <v>0</v>
      </c>
      <c r="K59" s="57"/>
      <c r="L59" s="58"/>
      <c r="M59" s="863"/>
    </row>
    <row r="60" spans="1:13" s="4" customFormat="1" ht="12.75" hidden="1" customHeight="1" x14ac:dyDescent="0.2">
      <c r="A60" s="689">
        <v>49</v>
      </c>
      <c r="B60" s="59" t="s">
        <v>97</v>
      </c>
      <c r="C60" s="41" t="s">
        <v>98</v>
      </c>
      <c r="D60" s="42"/>
      <c r="E60" s="42"/>
      <c r="F60" s="44"/>
      <c r="G60" s="44"/>
      <c r="H60" s="44"/>
      <c r="I60" s="44"/>
      <c r="J60" s="44"/>
      <c r="K60" s="45"/>
      <c r="L60" s="46"/>
      <c r="M60" s="872"/>
    </row>
    <row r="61" spans="1:13" s="4" customFormat="1" ht="12.75" hidden="1" customHeight="1" x14ac:dyDescent="0.2">
      <c r="A61" s="679">
        <v>50</v>
      </c>
      <c r="B61" s="59" t="s">
        <v>99</v>
      </c>
      <c r="C61" s="41" t="s">
        <v>100</v>
      </c>
      <c r="D61" s="42"/>
      <c r="E61" s="42"/>
      <c r="F61" s="44"/>
      <c r="G61" s="44"/>
      <c r="H61" s="44"/>
      <c r="I61" s="44"/>
      <c r="J61" s="44"/>
      <c r="K61" s="45"/>
      <c r="L61" s="46"/>
      <c r="M61" s="872"/>
    </row>
    <row r="62" spans="1:13" s="4" customFormat="1" ht="12.75" hidden="1" customHeight="1" x14ac:dyDescent="0.2">
      <c r="A62" s="689">
        <v>51</v>
      </c>
      <c r="B62" s="59" t="s">
        <v>101</v>
      </c>
      <c r="C62" s="41" t="s">
        <v>102</v>
      </c>
      <c r="D62" s="42"/>
      <c r="E62" s="42"/>
      <c r="F62" s="44"/>
      <c r="G62" s="44"/>
      <c r="H62" s="44"/>
      <c r="I62" s="44"/>
      <c r="J62" s="44"/>
      <c r="K62" s="45"/>
      <c r="L62" s="46"/>
      <c r="M62" s="872"/>
    </row>
    <row r="63" spans="1:13" s="4" customFormat="1" ht="12.75" hidden="1" customHeight="1" x14ac:dyDescent="0.2">
      <c r="A63" s="679">
        <v>52</v>
      </c>
      <c r="B63" s="59" t="s">
        <v>234</v>
      </c>
      <c r="C63" s="41" t="s">
        <v>102</v>
      </c>
      <c r="D63" s="42"/>
      <c r="E63" s="42"/>
      <c r="F63" s="44"/>
      <c r="G63" s="44"/>
      <c r="H63" s="44"/>
      <c r="I63" s="44"/>
      <c r="J63" s="44"/>
      <c r="K63" s="45"/>
      <c r="L63" s="46"/>
      <c r="M63" s="872"/>
    </row>
    <row r="64" spans="1:13" s="4" customFormat="1" ht="12.75" hidden="1" customHeight="1" x14ac:dyDescent="0.2">
      <c r="A64" s="689">
        <v>53</v>
      </c>
      <c r="B64" s="76" t="s">
        <v>104</v>
      </c>
      <c r="C64" s="56" t="s">
        <v>105</v>
      </c>
      <c r="D64" s="53">
        <v>0</v>
      </c>
      <c r="E64" s="53">
        <v>0</v>
      </c>
      <c r="F64" s="43">
        <f>F65+F66+F67</f>
        <v>0</v>
      </c>
      <c r="G64" s="43">
        <f>G65+G66+G67</f>
        <v>0</v>
      </c>
      <c r="H64" s="43">
        <f>H65+H66+H67</f>
        <v>0</v>
      </c>
      <c r="I64" s="43">
        <f>I65+I66+I67</f>
        <v>0</v>
      </c>
      <c r="J64" s="43">
        <f>J65+J66+J67</f>
        <v>0</v>
      </c>
      <c r="K64" s="57"/>
      <c r="L64" s="58"/>
      <c r="M64" s="863"/>
    </row>
    <row r="65" spans="1:13" s="4" customFormat="1" ht="12.75" hidden="1" customHeight="1" x14ac:dyDescent="0.2">
      <c r="A65" s="679">
        <v>54</v>
      </c>
      <c r="B65" s="59" t="s">
        <v>106</v>
      </c>
      <c r="C65" s="41" t="s">
        <v>107</v>
      </c>
      <c r="D65" s="42"/>
      <c r="E65" s="42"/>
      <c r="F65" s="43"/>
      <c r="G65" s="43"/>
      <c r="H65" s="43"/>
      <c r="I65" s="43"/>
      <c r="J65" s="43"/>
      <c r="K65" s="57"/>
      <c r="L65" s="58"/>
      <c r="M65" s="863"/>
    </row>
    <row r="66" spans="1:13" s="4" customFormat="1" ht="12.75" hidden="1" customHeight="1" x14ac:dyDescent="0.2">
      <c r="A66" s="689">
        <v>55</v>
      </c>
      <c r="B66" s="59" t="s">
        <v>108</v>
      </c>
      <c r="C66" s="41" t="s">
        <v>109</v>
      </c>
      <c r="D66" s="42"/>
      <c r="E66" s="42"/>
      <c r="F66" s="44"/>
      <c r="G66" s="44"/>
      <c r="H66" s="44"/>
      <c r="I66" s="44"/>
      <c r="J66" s="44"/>
      <c r="K66" s="45"/>
      <c r="L66" s="46"/>
      <c r="M66" s="872"/>
    </row>
    <row r="67" spans="1:13" s="4" customFormat="1" ht="12.75" hidden="1" customHeight="1" x14ac:dyDescent="0.2">
      <c r="A67" s="679">
        <v>56</v>
      </c>
      <c r="B67" s="59" t="s">
        <v>110</v>
      </c>
      <c r="C67" s="41" t="s">
        <v>111</v>
      </c>
      <c r="D67" s="42"/>
      <c r="E67" s="42"/>
      <c r="F67" s="44"/>
      <c r="G67" s="44"/>
      <c r="H67" s="44"/>
      <c r="I67" s="44"/>
      <c r="J67" s="44"/>
      <c r="K67" s="45"/>
      <c r="L67" s="46"/>
      <c r="M67" s="872"/>
    </row>
    <row r="68" spans="1:13" s="4" customFormat="1" ht="12.75" hidden="1" customHeight="1" x14ac:dyDescent="0.2">
      <c r="A68" s="689">
        <v>57</v>
      </c>
      <c r="B68" s="59" t="s">
        <v>235</v>
      </c>
      <c r="C68" s="41"/>
      <c r="D68" s="42"/>
      <c r="E68" s="42"/>
      <c r="F68" s="44"/>
      <c r="G68" s="44"/>
      <c r="H68" s="44"/>
      <c r="I68" s="44"/>
      <c r="J68" s="44"/>
      <c r="K68" s="45"/>
      <c r="L68" s="46"/>
      <c r="M68" s="872"/>
    </row>
    <row r="69" spans="1:13" s="4" customFormat="1" ht="12.75" hidden="1" customHeight="1" x14ac:dyDescent="0.2">
      <c r="A69" s="679">
        <v>58</v>
      </c>
      <c r="B69" s="77" t="s">
        <v>113</v>
      </c>
      <c r="C69" s="56" t="s">
        <v>114</v>
      </c>
      <c r="D69" s="53">
        <v>0</v>
      </c>
      <c r="E69" s="53">
        <v>0</v>
      </c>
      <c r="F69" s="43">
        <f>F70+F71</f>
        <v>0</v>
      </c>
      <c r="G69" s="43">
        <f>G70+G71</f>
        <v>0</v>
      </c>
      <c r="H69" s="43">
        <f>H70+H71</f>
        <v>0</v>
      </c>
      <c r="I69" s="43">
        <f>I70+I71</f>
        <v>0</v>
      </c>
      <c r="J69" s="43">
        <f>J70+J71</f>
        <v>0</v>
      </c>
      <c r="K69" s="57"/>
      <c r="L69" s="58"/>
      <c r="M69" s="863"/>
    </row>
    <row r="70" spans="1:13" s="4" customFormat="1" ht="12.75" hidden="1" customHeight="1" x14ac:dyDescent="0.2">
      <c r="A70" s="689">
        <v>59</v>
      </c>
      <c r="B70" s="59" t="s">
        <v>115</v>
      </c>
      <c r="C70" s="41" t="s">
        <v>116</v>
      </c>
      <c r="D70" s="42">
        <v>0</v>
      </c>
      <c r="E70" s="42">
        <v>0</v>
      </c>
      <c r="F70" s="44"/>
      <c r="G70" s="44"/>
      <c r="H70" s="44"/>
      <c r="I70" s="44"/>
      <c r="J70" s="44"/>
      <c r="K70" s="45"/>
      <c r="L70" s="46"/>
      <c r="M70" s="872"/>
    </row>
    <row r="71" spans="1:13" s="4" customFormat="1" ht="12.75" hidden="1" customHeight="1" x14ac:dyDescent="0.2">
      <c r="A71" s="679">
        <v>60</v>
      </c>
      <c r="B71" s="59" t="s">
        <v>117</v>
      </c>
      <c r="C71" s="41" t="s">
        <v>118</v>
      </c>
      <c r="D71" s="42">
        <v>0</v>
      </c>
      <c r="E71" s="42">
        <v>0</v>
      </c>
      <c r="F71" s="44"/>
      <c r="G71" s="44"/>
      <c r="H71" s="44"/>
      <c r="I71" s="44"/>
      <c r="J71" s="44"/>
      <c r="K71" s="45"/>
      <c r="L71" s="46"/>
      <c r="M71" s="872"/>
    </row>
    <row r="72" spans="1:13" s="4" customFormat="1" ht="12.75" hidden="1" customHeight="1" x14ac:dyDescent="0.2">
      <c r="A72" s="689">
        <v>61</v>
      </c>
      <c r="B72" s="55" t="s">
        <v>119</v>
      </c>
      <c r="C72" s="56" t="s">
        <v>120</v>
      </c>
      <c r="D72" s="53">
        <v>0</v>
      </c>
      <c r="E72" s="53">
        <v>0</v>
      </c>
      <c r="F72" s="43"/>
      <c r="G72" s="43"/>
      <c r="H72" s="43"/>
      <c r="I72" s="43"/>
      <c r="J72" s="43"/>
      <c r="K72" s="57"/>
      <c r="L72" s="58"/>
      <c r="M72" s="863"/>
    </row>
    <row r="73" spans="1:13" s="4" customFormat="1" ht="12.75" hidden="1" customHeight="1" x14ac:dyDescent="0.2">
      <c r="A73" s="679">
        <v>62</v>
      </c>
      <c r="B73" s="55" t="s">
        <v>121</v>
      </c>
      <c r="C73" s="56" t="s">
        <v>122</v>
      </c>
      <c r="D73" s="53">
        <v>0</v>
      </c>
      <c r="E73" s="53">
        <v>0</v>
      </c>
      <c r="F73" s="43"/>
      <c r="G73" s="43"/>
      <c r="H73" s="43"/>
      <c r="I73" s="43"/>
      <c r="J73" s="43"/>
      <c r="K73" s="57"/>
      <c r="L73" s="58"/>
      <c r="M73" s="863"/>
    </row>
    <row r="74" spans="1:13" s="4" customFormat="1" ht="12.75" hidden="1" customHeight="1" x14ac:dyDescent="0.2">
      <c r="A74" s="689">
        <v>63</v>
      </c>
      <c r="B74" s="55" t="s">
        <v>123</v>
      </c>
      <c r="C74" s="56" t="s">
        <v>124</v>
      </c>
      <c r="D74" s="53">
        <v>0</v>
      </c>
      <c r="E74" s="53">
        <v>0</v>
      </c>
      <c r="F74" s="43"/>
      <c r="G74" s="43"/>
      <c r="H74" s="43"/>
      <c r="I74" s="43"/>
      <c r="J74" s="43"/>
      <c r="K74" s="57"/>
      <c r="L74" s="58"/>
      <c r="M74" s="863"/>
    </row>
    <row r="75" spans="1:13" s="4" customFormat="1" ht="12.75" hidden="1" customHeight="1" x14ac:dyDescent="0.2">
      <c r="A75" s="679">
        <v>64</v>
      </c>
      <c r="B75" s="55" t="s">
        <v>125</v>
      </c>
      <c r="C75" s="56" t="s">
        <v>126</v>
      </c>
      <c r="D75" s="53">
        <v>0</v>
      </c>
      <c r="E75" s="53">
        <v>0</v>
      </c>
      <c r="F75" s="43"/>
      <c r="G75" s="43"/>
      <c r="H75" s="43"/>
      <c r="I75" s="43"/>
      <c r="J75" s="43"/>
      <c r="K75" s="57"/>
      <c r="L75" s="58"/>
      <c r="M75" s="863"/>
    </row>
    <row r="76" spans="1:13" s="4" customFormat="1" ht="12.75" hidden="1" customHeight="1" x14ac:dyDescent="0.2">
      <c r="A76" s="689">
        <v>65</v>
      </c>
      <c r="B76" s="55" t="s">
        <v>127</v>
      </c>
      <c r="C76" s="56" t="s">
        <v>128</v>
      </c>
      <c r="D76" s="53">
        <v>0</v>
      </c>
      <c r="E76" s="53">
        <v>0</v>
      </c>
      <c r="F76" s="43"/>
      <c r="G76" s="43"/>
      <c r="H76" s="43"/>
      <c r="I76" s="43"/>
      <c r="J76" s="43"/>
      <c r="K76" s="57"/>
      <c r="L76" s="58"/>
      <c r="M76" s="863"/>
    </row>
    <row r="77" spans="1:13" s="4" customFormat="1" ht="12.75" hidden="1" customHeight="1" x14ac:dyDescent="0.2">
      <c r="A77" s="679">
        <v>66</v>
      </c>
      <c r="B77" s="59" t="s">
        <v>129</v>
      </c>
      <c r="C77" s="41" t="s">
        <v>130</v>
      </c>
      <c r="D77" s="53">
        <v>0</v>
      </c>
      <c r="E77" s="53">
        <v>0</v>
      </c>
      <c r="F77" s="43"/>
      <c r="G77" s="43"/>
      <c r="H77" s="43"/>
      <c r="I77" s="43"/>
      <c r="J77" s="43"/>
      <c r="K77" s="57"/>
      <c r="L77" s="58"/>
      <c r="M77" s="863"/>
    </row>
    <row r="78" spans="1:13" s="4" customFormat="1" ht="12.75" hidden="1" customHeight="1" x14ac:dyDescent="0.2">
      <c r="A78" s="689">
        <v>67</v>
      </c>
      <c r="B78" s="59" t="s">
        <v>131</v>
      </c>
      <c r="C78" s="56" t="s">
        <v>132</v>
      </c>
      <c r="D78" s="53">
        <v>0</v>
      </c>
      <c r="E78" s="53">
        <v>0</v>
      </c>
      <c r="F78" s="44">
        <f>F79+F80+F81+F82</f>
        <v>0</v>
      </c>
      <c r="G78" s="44">
        <f>G79+G80+G81+G82</f>
        <v>0</v>
      </c>
      <c r="H78" s="44">
        <f>H79+H80+H81+H82</f>
        <v>0</v>
      </c>
      <c r="I78" s="44">
        <f>I79+I80+I81+I82</f>
        <v>0</v>
      </c>
      <c r="J78" s="44">
        <f>J79+J80+J81+J82</f>
        <v>0</v>
      </c>
      <c r="K78" s="45"/>
      <c r="L78" s="46"/>
      <c r="M78" s="872"/>
    </row>
    <row r="79" spans="1:13" s="4" customFormat="1" ht="12.75" hidden="1" customHeight="1" x14ac:dyDescent="0.2">
      <c r="A79" s="679">
        <v>68</v>
      </c>
      <c r="B79" s="59" t="s">
        <v>133</v>
      </c>
      <c r="C79" s="41"/>
      <c r="D79" s="42"/>
      <c r="E79" s="42"/>
      <c r="F79" s="44"/>
      <c r="G79" s="44"/>
      <c r="H79" s="44"/>
      <c r="I79" s="44"/>
      <c r="J79" s="44"/>
      <c r="K79" s="45"/>
      <c r="L79" s="46"/>
      <c r="M79" s="872"/>
    </row>
    <row r="80" spans="1:13" s="4" customFormat="1" ht="12.75" hidden="1" customHeight="1" x14ac:dyDescent="0.2">
      <c r="A80" s="689">
        <v>69</v>
      </c>
      <c r="B80" s="59" t="s">
        <v>260</v>
      </c>
      <c r="C80" s="41"/>
      <c r="D80" s="42"/>
      <c r="E80" s="42"/>
      <c r="F80" s="44"/>
      <c r="G80" s="44"/>
      <c r="H80" s="44"/>
      <c r="I80" s="44"/>
      <c r="J80" s="44"/>
      <c r="K80" s="45"/>
      <c r="L80" s="46"/>
      <c r="M80" s="872"/>
    </row>
    <row r="81" spans="1:13" s="4" customFormat="1" ht="12.75" hidden="1" customHeight="1" x14ac:dyDescent="0.2">
      <c r="A81" s="679">
        <v>70</v>
      </c>
      <c r="B81" s="59" t="s">
        <v>238</v>
      </c>
      <c r="C81" s="41"/>
      <c r="D81" s="42"/>
      <c r="E81" s="42"/>
      <c r="F81" s="44"/>
      <c r="G81" s="44"/>
      <c r="H81" s="44"/>
      <c r="I81" s="44"/>
      <c r="J81" s="44"/>
      <c r="K81" s="45"/>
      <c r="L81" s="46"/>
      <c r="M81" s="872"/>
    </row>
    <row r="82" spans="1:13" s="4" customFormat="1" ht="12.75" hidden="1" customHeight="1" x14ac:dyDescent="0.2">
      <c r="A82" s="689">
        <v>71</v>
      </c>
      <c r="B82" s="59" t="s">
        <v>134</v>
      </c>
      <c r="C82" s="41"/>
      <c r="D82" s="42"/>
      <c r="E82" s="42"/>
      <c r="F82" s="44"/>
      <c r="G82" s="44"/>
      <c r="H82" s="44"/>
      <c r="I82" s="44"/>
      <c r="J82" s="44"/>
      <c r="K82" s="45"/>
      <c r="L82" s="46"/>
      <c r="M82" s="872"/>
    </row>
    <row r="83" spans="1:13" s="4" customFormat="1" ht="12.75" hidden="1" customHeight="1" x14ac:dyDescent="0.2">
      <c r="A83" s="679">
        <v>72</v>
      </c>
      <c r="B83" s="59" t="s">
        <v>135</v>
      </c>
      <c r="C83" s="41"/>
      <c r="D83" s="42"/>
      <c r="E83" s="42"/>
      <c r="F83" s="44"/>
      <c r="G83" s="44"/>
      <c r="H83" s="44"/>
      <c r="I83" s="44"/>
      <c r="J83" s="44"/>
      <c r="K83" s="45"/>
      <c r="L83" s="46"/>
      <c r="M83" s="872"/>
    </row>
    <row r="84" spans="1:13" s="4" customFormat="1" ht="12.75" hidden="1" customHeight="1" x14ac:dyDescent="0.2">
      <c r="A84" s="689">
        <v>73</v>
      </c>
      <c r="B84" s="90" t="s">
        <v>239</v>
      </c>
      <c r="C84" s="41"/>
      <c r="D84" s="42"/>
      <c r="E84" s="42"/>
      <c r="F84" s="44"/>
      <c r="G84" s="44"/>
      <c r="H84" s="44"/>
      <c r="I84" s="44"/>
      <c r="J84" s="44"/>
      <c r="K84" s="45"/>
      <c r="L84" s="46"/>
      <c r="M84" s="872"/>
    </row>
    <row r="85" spans="1:13" s="4" customFormat="1" ht="12.75" hidden="1" customHeight="1" x14ac:dyDescent="0.2">
      <c r="A85" s="679">
        <v>74</v>
      </c>
      <c r="B85" s="90" t="s">
        <v>136</v>
      </c>
      <c r="C85" s="41"/>
      <c r="D85" s="42"/>
      <c r="E85" s="42"/>
      <c r="F85" s="44"/>
      <c r="G85" s="44"/>
      <c r="H85" s="44"/>
      <c r="I85" s="44"/>
      <c r="J85" s="44"/>
      <c r="K85" s="45"/>
      <c r="L85" s="46"/>
      <c r="M85" s="872"/>
    </row>
    <row r="86" spans="1:13" s="4" customFormat="1" ht="12.75" hidden="1" customHeight="1" x14ac:dyDescent="0.2">
      <c r="A86" s="689">
        <v>75</v>
      </c>
      <c r="B86" s="90" t="s">
        <v>137</v>
      </c>
      <c r="C86" s="41"/>
      <c r="D86" s="42"/>
      <c r="E86" s="42"/>
      <c r="F86" s="44"/>
      <c r="G86" s="44"/>
      <c r="H86" s="44"/>
      <c r="I86" s="44"/>
      <c r="J86" s="44"/>
      <c r="K86" s="45"/>
      <c r="L86" s="46"/>
      <c r="M86" s="872"/>
    </row>
    <row r="87" spans="1:13" s="4" customFormat="1" ht="12.75" hidden="1" customHeight="1" x14ac:dyDescent="0.2">
      <c r="A87" s="679">
        <v>76</v>
      </c>
      <c r="B87" s="90" t="s">
        <v>138</v>
      </c>
      <c r="C87" s="41"/>
      <c r="D87" s="42"/>
      <c r="E87" s="42"/>
      <c r="F87" s="44"/>
      <c r="G87" s="44"/>
      <c r="H87" s="44"/>
      <c r="I87" s="44"/>
      <c r="J87" s="44"/>
      <c r="K87" s="45"/>
      <c r="L87" s="46"/>
      <c r="M87" s="872"/>
    </row>
    <row r="88" spans="1:13" s="4" customFormat="1" ht="13.35" hidden="1" customHeight="1" x14ac:dyDescent="0.2">
      <c r="A88" s="689">
        <v>77</v>
      </c>
      <c r="B88" s="100" t="s">
        <v>140</v>
      </c>
      <c r="C88" s="56" t="s">
        <v>141</v>
      </c>
      <c r="D88" s="53"/>
      <c r="E88" s="53"/>
      <c r="F88" s="43"/>
      <c r="G88" s="43"/>
      <c r="H88" s="43"/>
      <c r="I88" s="43"/>
      <c r="J88" s="43"/>
      <c r="K88" s="57"/>
      <c r="L88" s="58"/>
      <c r="M88" s="863"/>
    </row>
    <row r="89" spans="1:13" s="4" customFormat="1" ht="38.25" hidden="1" customHeight="1" x14ac:dyDescent="0.2">
      <c r="A89" s="679">
        <v>78</v>
      </c>
      <c r="B89" s="100" t="s">
        <v>142</v>
      </c>
      <c r="C89" s="101" t="s">
        <v>143</v>
      </c>
      <c r="D89" s="53"/>
      <c r="E89" s="53"/>
      <c r="F89" s="43"/>
      <c r="G89" s="43"/>
      <c r="H89" s="43"/>
      <c r="I89" s="43"/>
      <c r="J89" s="43"/>
      <c r="K89" s="57"/>
      <c r="L89" s="58"/>
      <c r="M89" s="863"/>
    </row>
    <row r="90" spans="1:13" s="4" customFormat="1" ht="13.5" hidden="1" customHeight="1" x14ac:dyDescent="0.2">
      <c r="A90" s="689">
        <v>79</v>
      </c>
      <c r="B90" s="62" t="s">
        <v>144</v>
      </c>
      <c r="C90" s="63" t="s">
        <v>145</v>
      </c>
      <c r="D90" s="64"/>
      <c r="E90" s="64"/>
      <c r="F90" s="174"/>
      <c r="G90" s="174"/>
      <c r="H90" s="174"/>
      <c r="I90" s="174"/>
      <c r="J90" s="174"/>
      <c r="K90" s="322"/>
      <c r="L90" s="323"/>
      <c r="M90" s="873"/>
    </row>
    <row r="91" spans="1:13" s="4" customFormat="1" ht="12.75" hidden="1" customHeight="1" x14ac:dyDescent="0.2">
      <c r="A91" s="679">
        <v>80</v>
      </c>
      <c r="B91" s="324" t="s">
        <v>146</v>
      </c>
      <c r="C91" s="325" t="s">
        <v>147</v>
      </c>
      <c r="D91" s="326"/>
      <c r="E91" s="327"/>
      <c r="F91" s="175"/>
      <c r="G91" s="175"/>
      <c r="H91" s="175"/>
      <c r="I91" s="175"/>
      <c r="J91" s="175"/>
      <c r="K91" s="328"/>
      <c r="L91" s="329"/>
      <c r="M91" s="874"/>
    </row>
    <row r="92" spans="1:13" s="4" customFormat="1" ht="12.75" customHeight="1" x14ac:dyDescent="0.2">
      <c r="A92" s="689">
        <v>81</v>
      </c>
      <c r="B92" s="55" t="s">
        <v>148</v>
      </c>
      <c r="C92" s="56" t="s">
        <v>149</v>
      </c>
      <c r="D92" s="53">
        <f t="shared" ref="D92:J92" si="1">D93</f>
        <v>0</v>
      </c>
      <c r="E92" s="53">
        <f t="shared" si="1"/>
        <v>0</v>
      </c>
      <c r="F92" s="43">
        <f t="shared" si="1"/>
        <v>300</v>
      </c>
      <c r="G92" s="43">
        <f t="shared" si="1"/>
        <v>270</v>
      </c>
      <c r="H92" s="43">
        <f t="shared" si="1"/>
        <v>10</v>
      </c>
      <c r="I92" s="43">
        <f t="shared" si="1"/>
        <v>10</v>
      </c>
      <c r="J92" s="43">
        <f t="shared" si="1"/>
        <v>10</v>
      </c>
      <c r="K92" s="57">
        <f>F92*101.2%</f>
        <v>303.60000000000002</v>
      </c>
      <c r="L92" s="58">
        <f>F92*101.5%</f>
        <v>304.49999999999994</v>
      </c>
      <c r="M92" s="777">
        <f>F92*101.8%</f>
        <v>305.39999999999998</v>
      </c>
    </row>
    <row r="93" spans="1:13" s="4" customFormat="1" ht="12.75" customHeight="1" x14ac:dyDescent="0.2">
      <c r="A93" s="679">
        <v>82</v>
      </c>
      <c r="B93" s="115" t="s">
        <v>150</v>
      </c>
      <c r="C93" s="56" t="s">
        <v>151</v>
      </c>
      <c r="D93" s="53">
        <f>D94</f>
        <v>0</v>
      </c>
      <c r="E93" s="53">
        <f>E94</f>
        <v>0</v>
      </c>
      <c r="F93" s="43">
        <f>F94+F107</f>
        <v>300</v>
      </c>
      <c r="G93" s="43">
        <f>G94+G107</f>
        <v>270</v>
      </c>
      <c r="H93" s="43">
        <f>H94+H107</f>
        <v>10</v>
      </c>
      <c r="I93" s="43">
        <f>I94+I107</f>
        <v>10</v>
      </c>
      <c r="J93" s="43">
        <f>J94+J107</f>
        <v>10</v>
      </c>
      <c r="K93" s="57"/>
      <c r="L93" s="58"/>
      <c r="M93" s="863"/>
    </row>
    <row r="94" spans="1:13" s="4" customFormat="1" ht="12.75" customHeight="1" x14ac:dyDescent="0.2">
      <c r="A94" s="689">
        <v>83</v>
      </c>
      <c r="B94" s="115" t="s">
        <v>152</v>
      </c>
      <c r="C94" s="56" t="s">
        <v>153</v>
      </c>
      <c r="D94" s="53">
        <f>D97+D98</f>
        <v>0</v>
      </c>
      <c r="E94" s="53">
        <f>E97+E98</f>
        <v>0</v>
      </c>
      <c r="F94" s="43">
        <f>F95+F96+F97+F98+F100+F101</f>
        <v>300</v>
      </c>
      <c r="G94" s="43">
        <f>G95+G96+G97+G98+G100+G101</f>
        <v>270</v>
      </c>
      <c r="H94" s="43">
        <f>H95+H96+H97+H98+H100+H101</f>
        <v>10</v>
      </c>
      <c r="I94" s="43">
        <f>I95+I96+I97+I98+I100+I101</f>
        <v>10</v>
      </c>
      <c r="J94" s="43">
        <f>J95+J96+J97+J98+J100+J101</f>
        <v>10</v>
      </c>
      <c r="K94" s="57"/>
      <c r="L94" s="58"/>
      <c r="M94" s="863"/>
    </row>
    <row r="95" spans="1:13" s="4" customFormat="1" ht="12.75" hidden="1" customHeight="1" x14ac:dyDescent="0.2">
      <c r="A95" s="679">
        <v>84</v>
      </c>
      <c r="B95" s="116" t="s">
        <v>154</v>
      </c>
      <c r="C95" s="41"/>
      <c r="D95" s="42"/>
      <c r="E95" s="42"/>
      <c r="F95" s="43"/>
      <c r="G95" s="43"/>
      <c r="H95" s="43"/>
      <c r="I95" s="43"/>
      <c r="J95" s="43"/>
      <c r="K95" s="57"/>
      <c r="L95" s="58"/>
      <c r="M95" s="863"/>
    </row>
    <row r="96" spans="1:13" s="4" customFormat="1" ht="12.75" hidden="1" customHeight="1" x14ac:dyDescent="0.2">
      <c r="A96" s="689">
        <v>85</v>
      </c>
      <c r="B96" s="116" t="s">
        <v>155</v>
      </c>
      <c r="C96" s="41"/>
      <c r="D96" s="42"/>
      <c r="E96" s="42"/>
      <c r="F96" s="43"/>
      <c r="G96" s="43"/>
      <c r="H96" s="43"/>
      <c r="I96" s="43"/>
      <c r="J96" s="43"/>
      <c r="K96" s="57"/>
      <c r="L96" s="58"/>
      <c r="M96" s="863"/>
    </row>
    <row r="97" spans="1:16" s="4" customFormat="1" ht="12.75" hidden="1" customHeight="1" x14ac:dyDescent="0.2">
      <c r="A97" s="679">
        <v>86</v>
      </c>
      <c r="B97" s="116" t="s">
        <v>156</v>
      </c>
      <c r="C97" s="41"/>
      <c r="D97" s="42"/>
      <c r="E97" s="42">
        <v>0</v>
      </c>
      <c r="F97" s="43">
        <f>G97+H97+I97+J97</f>
        <v>0</v>
      </c>
      <c r="G97" s="43"/>
      <c r="H97" s="43"/>
      <c r="I97" s="43"/>
      <c r="J97" s="43"/>
      <c r="K97" s="57"/>
      <c r="L97" s="58"/>
      <c r="M97" s="863"/>
      <c r="N97" s="152" t="s">
        <v>261</v>
      </c>
      <c r="O97" s="152"/>
      <c r="P97" s="152"/>
    </row>
    <row r="98" spans="1:16" s="4" customFormat="1" ht="13.5" thickBot="1" x14ac:dyDescent="0.25">
      <c r="A98" s="693">
        <v>87</v>
      </c>
      <c r="B98" s="875" t="s">
        <v>262</v>
      </c>
      <c r="C98" s="844"/>
      <c r="D98" s="712">
        <v>0</v>
      </c>
      <c r="E98" s="712">
        <v>0</v>
      </c>
      <c r="F98" s="876">
        <f>G98+H98+I98+J98</f>
        <v>300</v>
      </c>
      <c r="G98" s="876">
        <v>270</v>
      </c>
      <c r="H98" s="876">
        <v>10</v>
      </c>
      <c r="I98" s="876">
        <v>10</v>
      </c>
      <c r="J98" s="876">
        <v>10</v>
      </c>
      <c r="K98" s="877"/>
      <c r="L98" s="878"/>
      <c r="M98" s="879"/>
    </row>
    <row r="99" spans="1:16" s="4" customFormat="1" hidden="1" x14ac:dyDescent="0.2">
      <c r="A99" s="39">
        <v>88</v>
      </c>
      <c r="B99" s="120" t="s">
        <v>158</v>
      </c>
      <c r="C99" s="92"/>
      <c r="D99" s="93"/>
      <c r="E99" s="93"/>
      <c r="F99" s="275"/>
      <c r="G99" s="275"/>
      <c r="H99" s="275"/>
      <c r="I99" s="275"/>
      <c r="J99" s="275"/>
      <c r="K99" s="332"/>
      <c r="L99" s="275"/>
      <c r="M99" s="333"/>
    </row>
    <row r="100" spans="1:16" s="4" customFormat="1" hidden="1" x14ac:dyDescent="0.2">
      <c r="A100" s="47">
        <v>89</v>
      </c>
      <c r="B100" s="213" t="s">
        <v>159</v>
      </c>
      <c r="C100" s="86"/>
      <c r="D100" s="87"/>
      <c r="E100" s="87"/>
      <c r="F100" s="97"/>
      <c r="G100" s="97"/>
      <c r="H100" s="97"/>
      <c r="I100" s="97"/>
      <c r="J100" s="97"/>
      <c r="K100" s="178"/>
      <c r="L100" s="97"/>
      <c r="M100" s="99"/>
    </row>
    <row r="101" spans="1:16" s="4" customFormat="1" hidden="1" x14ac:dyDescent="0.2">
      <c r="A101" s="39">
        <v>90</v>
      </c>
      <c r="B101" s="122" t="s">
        <v>160</v>
      </c>
      <c r="C101" s="41"/>
      <c r="D101" s="117"/>
      <c r="E101" s="117"/>
      <c r="F101" s="103"/>
      <c r="G101" s="103"/>
      <c r="H101" s="103"/>
      <c r="I101" s="103"/>
      <c r="J101" s="103"/>
      <c r="K101" s="118"/>
      <c r="L101" s="103"/>
      <c r="M101" s="105"/>
    </row>
    <row r="102" spans="1:16" s="4" customFormat="1" hidden="1" x14ac:dyDescent="0.2">
      <c r="A102" s="47">
        <v>91</v>
      </c>
      <c r="B102" s="122" t="s">
        <v>161</v>
      </c>
      <c r="C102" s="41"/>
      <c r="D102" s="117"/>
      <c r="E102" s="117"/>
      <c r="F102" s="103"/>
      <c r="G102" s="103"/>
      <c r="H102" s="103"/>
      <c r="I102" s="103"/>
      <c r="J102" s="103"/>
      <c r="K102" s="104"/>
      <c r="L102" s="103"/>
      <c r="M102" s="105"/>
    </row>
    <row r="103" spans="1:16" s="4" customFormat="1" hidden="1" x14ac:dyDescent="0.2">
      <c r="A103" s="39">
        <v>92</v>
      </c>
      <c r="B103" s="4" t="s">
        <v>162</v>
      </c>
      <c r="C103" s="41"/>
      <c r="D103" s="117"/>
      <c r="E103" s="117"/>
      <c r="F103" s="103"/>
      <c r="G103" s="103"/>
      <c r="H103" s="103"/>
      <c r="I103" s="103"/>
      <c r="J103" s="103"/>
      <c r="K103" s="104"/>
      <c r="L103" s="103"/>
      <c r="M103" s="105"/>
    </row>
    <row r="104" spans="1:16" s="4" customFormat="1" hidden="1" x14ac:dyDescent="0.2">
      <c r="A104" s="47">
        <v>93</v>
      </c>
      <c r="B104" s="122" t="s">
        <v>163</v>
      </c>
      <c r="C104" s="41"/>
      <c r="D104" s="117"/>
      <c r="E104" s="117"/>
      <c r="F104" s="103"/>
      <c r="G104" s="103"/>
      <c r="H104" s="103"/>
      <c r="I104" s="103"/>
      <c r="J104" s="103"/>
      <c r="K104" s="104"/>
      <c r="L104" s="103"/>
      <c r="M104" s="105"/>
    </row>
    <row r="105" spans="1:16" s="4" customFormat="1" hidden="1" x14ac:dyDescent="0.2">
      <c r="A105" s="39">
        <v>94</v>
      </c>
      <c r="B105" s="122" t="s">
        <v>164</v>
      </c>
      <c r="C105" s="41"/>
      <c r="D105" s="117"/>
      <c r="E105" s="117"/>
      <c r="F105" s="103"/>
      <c r="G105" s="103"/>
      <c r="H105" s="103"/>
      <c r="I105" s="103"/>
      <c r="J105" s="103"/>
      <c r="K105" s="104"/>
      <c r="L105" s="103"/>
      <c r="M105" s="105"/>
    </row>
    <row r="106" spans="1:16" s="4" customFormat="1" hidden="1" x14ac:dyDescent="0.2">
      <c r="A106" s="47">
        <v>95</v>
      </c>
      <c r="B106" s="122"/>
      <c r="C106" s="41"/>
      <c r="D106" s="117"/>
      <c r="E106" s="117"/>
      <c r="F106" s="103"/>
      <c r="G106" s="103"/>
      <c r="H106" s="103"/>
      <c r="I106" s="103"/>
      <c r="J106" s="103"/>
      <c r="K106" s="104"/>
      <c r="L106" s="103"/>
      <c r="M106" s="105"/>
    </row>
    <row r="107" spans="1:16" s="4" customFormat="1" hidden="1" x14ac:dyDescent="0.2">
      <c r="A107" s="39">
        <v>96</v>
      </c>
      <c r="B107" s="123" t="s">
        <v>165</v>
      </c>
      <c r="C107" s="56" t="s">
        <v>166</v>
      </c>
      <c r="D107" s="189" t="s">
        <v>139</v>
      </c>
      <c r="E107" s="189" t="s">
        <v>139</v>
      </c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6" s="4" customFormat="1" hidden="1" x14ac:dyDescent="0.2">
      <c r="A108" s="47">
        <v>97</v>
      </c>
      <c r="B108" s="124" t="s">
        <v>167</v>
      </c>
      <c r="C108" s="41"/>
      <c r="D108" s="117"/>
      <c r="E108" s="117"/>
      <c r="F108" s="103"/>
      <c r="G108" s="103"/>
      <c r="H108" s="103"/>
      <c r="I108" s="103"/>
      <c r="J108" s="103"/>
      <c r="K108" s="118"/>
      <c r="L108" s="103"/>
      <c r="M108" s="105"/>
    </row>
    <row r="109" spans="1:16" s="4" customFormat="1" hidden="1" x14ac:dyDescent="0.2">
      <c r="A109" s="39">
        <v>98</v>
      </c>
      <c r="B109" s="125" t="s">
        <v>168</v>
      </c>
      <c r="C109" s="41"/>
      <c r="D109" s="117"/>
      <c r="E109" s="117"/>
      <c r="F109" s="103"/>
      <c r="G109" s="103"/>
      <c r="H109" s="103"/>
      <c r="I109" s="103"/>
      <c r="J109" s="103"/>
      <c r="K109" s="118"/>
      <c r="L109" s="103"/>
      <c r="M109" s="105"/>
    </row>
    <row r="110" spans="1:16" s="4" customFormat="1" hidden="1" x14ac:dyDescent="0.2">
      <c r="A110" s="47">
        <v>99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103"/>
      <c r="M110" s="105"/>
    </row>
    <row r="111" spans="1:16" s="4" customFormat="1" hidden="1" x14ac:dyDescent="0.2">
      <c r="A111" s="39">
        <v>100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103"/>
      <c r="M111" s="105"/>
    </row>
    <row r="112" spans="1:16" s="4" customFormat="1" ht="25.5" hidden="1" x14ac:dyDescent="0.2">
      <c r="A112" s="47">
        <v>101</v>
      </c>
      <c r="B112" s="126" t="s">
        <v>171</v>
      </c>
      <c r="C112" s="101" t="s">
        <v>172</v>
      </c>
      <c r="D112" s="102"/>
      <c r="E112" s="102"/>
      <c r="F112" s="103">
        <f>F113+F116</f>
        <v>0</v>
      </c>
      <c r="G112" s="103">
        <f>G113+G116</f>
        <v>0</v>
      </c>
      <c r="H112" s="103">
        <f>H113+H116</f>
        <v>0</v>
      </c>
      <c r="I112" s="103">
        <f>I113+I116</f>
        <v>0</v>
      </c>
      <c r="J112" s="103">
        <f>J113+J116</f>
        <v>0</v>
      </c>
      <c r="K112" s="104"/>
      <c r="L112" s="103"/>
      <c r="M112" s="105"/>
    </row>
    <row r="113" spans="1:13" s="4" customFormat="1" hidden="1" x14ac:dyDescent="0.2">
      <c r="A113" s="39">
        <v>102</v>
      </c>
      <c r="B113" s="4" t="s">
        <v>127</v>
      </c>
      <c r="C113" s="56" t="s">
        <v>173</v>
      </c>
      <c r="D113" s="114"/>
      <c r="E113" s="114"/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hidden="1" x14ac:dyDescent="0.2">
      <c r="A114" s="47">
        <v>103</v>
      </c>
      <c r="B114" s="73" t="s">
        <v>174</v>
      </c>
      <c r="C114" s="56"/>
      <c r="D114" s="114"/>
      <c r="E114" s="114"/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hidden="1" x14ac:dyDescent="0.2">
      <c r="A115" s="39">
        <v>104</v>
      </c>
      <c r="B115" s="73" t="s">
        <v>175</v>
      </c>
      <c r="C115" s="56"/>
      <c r="D115" s="114"/>
      <c r="E115" s="114"/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hidden="1" x14ac:dyDescent="0.2">
      <c r="A116" s="47">
        <v>105</v>
      </c>
      <c r="B116" s="73" t="s">
        <v>176</v>
      </c>
      <c r="C116" s="56" t="s">
        <v>177</v>
      </c>
      <c r="D116" s="114"/>
      <c r="E116" s="114"/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hidden="1" x14ac:dyDescent="0.2">
      <c r="A117" s="39">
        <v>106</v>
      </c>
      <c r="B117" s="169" t="s">
        <v>178</v>
      </c>
      <c r="C117" s="101" t="s">
        <v>179</v>
      </c>
      <c r="D117" s="114"/>
      <c r="E117" s="114"/>
      <c r="F117" s="103"/>
      <c r="G117" s="103"/>
      <c r="H117" s="103"/>
      <c r="I117" s="103"/>
      <c r="J117" s="103"/>
      <c r="K117" s="104"/>
      <c r="L117" s="103"/>
      <c r="M117" s="105"/>
    </row>
    <row r="118" spans="1:13" s="135" customFormat="1" hidden="1" x14ac:dyDescent="0.2">
      <c r="A118" s="47">
        <v>107</v>
      </c>
      <c r="B118" s="179" t="s">
        <v>180</v>
      </c>
      <c r="C118" s="180"/>
      <c r="D118" s="181"/>
      <c r="E118" s="181"/>
      <c r="F118" s="103">
        <f>F132</f>
        <v>0</v>
      </c>
      <c r="G118" s="103">
        <f>G132</f>
        <v>0</v>
      </c>
      <c r="H118" s="103">
        <f>H132</f>
        <v>0</v>
      </c>
      <c r="I118" s="103">
        <f>I132</f>
        <v>0</v>
      </c>
      <c r="J118" s="103">
        <f>J132</f>
        <v>0</v>
      </c>
      <c r="K118" s="104"/>
      <c r="L118" s="103"/>
      <c r="M118" s="105"/>
    </row>
    <row r="119" spans="1:13" s="4" customFormat="1" ht="25.5" hidden="1" x14ac:dyDescent="0.2">
      <c r="A119" s="39">
        <v>108</v>
      </c>
      <c r="B119" s="126" t="s">
        <v>181</v>
      </c>
      <c r="C119" s="136" t="s">
        <v>182</v>
      </c>
      <c r="D119" s="137"/>
      <c r="E119" s="137"/>
      <c r="F119" s="103"/>
      <c r="G119" s="103"/>
      <c r="H119" s="103"/>
      <c r="I119" s="103"/>
      <c r="J119" s="103"/>
      <c r="K119" s="118"/>
      <c r="L119" s="103"/>
      <c r="M119" s="105"/>
    </row>
    <row r="120" spans="1:13" s="4" customFormat="1" hidden="1" x14ac:dyDescent="0.2">
      <c r="A120" s="47">
        <v>109</v>
      </c>
      <c r="B120" s="55" t="s">
        <v>183</v>
      </c>
      <c r="C120" s="56" t="s">
        <v>184</v>
      </c>
      <c r="D120" s="114"/>
      <c r="E120" s="114"/>
      <c r="F120" s="103"/>
      <c r="G120" s="103"/>
      <c r="H120" s="103"/>
      <c r="I120" s="103"/>
      <c r="J120" s="103"/>
      <c r="K120" s="118"/>
      <c r="L120" s="103"/>
      <c r="M120" s="105"/>
    </row>
    <row r="121" spans="1:13" s="139" customFormat="1" hidden="1" x14ac:dyDescent="0.2">
      <c r="A121" s="39">
        <v>110</v>
      </c>
      <c r="B121" s="138" t="s">
        <v>185</v>
      </c>
      <c r="C121" s="41" t="s">
        <v>186</v>
      </c>
      <c r="D121" s="117"/>
      <c r="E121" s="117"/>
      <c r="F121" s="103"/>
      <c r="G121" s="103"/>
      <c r="H121" s="103"/>
      <c r="I121" s="103"/>
      <c r="J121" s="103"/>
      <c r="K121" s="118"/>
      <c r="L121" s="103"/>
      <c r="M121" s="105"/>
    </row>
    <row r="122" spans="1:13" s="139" customFormat="1" hidden="1" x14ac:dyDescent="0.2">
      <c r="A122" s="47">
        <v>111</v>
      </c>
      <c r="B122" s="138" t="s">
        <v>187</v>
      </c>
      <c r="C122" s="56" t="s">
        <v>188</v>
      </c>
      <c r="D122" s="117"/>
      <c r="E122" s="117"/>
      <c r="F122" s="103"/>
      <c r="G122" s="103"/>
      <c r="H122" s="103"/>
      <c r="I122" s="103"/>
      <c r="J122" s="103"/>
      <c r="K122" s="104"/>
      <c r="L122" s="103"/>
      <c r="M122" s="105"/>
    </row>
    <row r="123" spans="1:13" s="139" customFormat="1" hidden="1" x14ac:dyDescent="0.2">
      <c r="A123" s="39">
        <v>112</v>
      </c>
      <c r="B123" s="138" t="s">
        <v>189</v>
      </c>
      <c r="C123" s="56" t="s">
        <v>190</v>
      </c>
      <c r="D123" s="117"/>
      <c r="E123" s="117"/>
      <c r="F123" s="103"/>
      <c r="G123" s="103"/>
      <c r="H123" s="103"/>
      <c r="I123" s="103"/>
      <c r="J123" s="103"/>
      <c r="K123" s="104"/>
      <c r="L123" s="103"/>
      <c r="M123" s="105"/>
    </row>
    <row r="124" spans="1:13" s="139" customFormat="1" hidden="1" x14ac:dyDescent="0.2">
      <c r="A124" s="47">
        <v>113</v>
      </c>
      <c r="B124" s="138" t="s">
        <v>191</v>
      </c>
      <c r="C124" s="41" t="s">
        <v>192</v>
      </c>
      <c r="D124" s="117"/>
      <c r="E124" s="117"/>
      <c r="F124" s="103"/>
      <c r="G124" s="103"/>
      <c r="H124" s="103"/>
      <c r="I124" s="103"/>
      <c r="J124" s="103"/>
      <c r="K124" s="104"/>
      <c r="L124" s="103"/>
      <c r="M124" s="105"/>
    </row>
    <row r="125" spans="1:13" s="139" customFormat="1" hidden="1" x14ac:dyDescent="0.2">
      <c r="A125" s="39">
        <v>114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103"/>
      <c r="M125" s="105"/>
    </row>
    <row r="126" spans="1:13" s="139" customFormat="1" hidden="1" x14ac:dyDescent="0.2">
      <c r="A126" s="47">
        <v>115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103"/>
      <c r="M126" s="105"/>
    </row>
    <row r="127" spans="1:13" s="139" customFormat="1" hidden="1" x14ac:dyDescent="0.2">
      <c r="A127" s="39">
        <v>116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103"/>
      <c r="M127" s="105"/>
    </row>
    <row r="128" spans="1:13" s="139" customFormat="1" hidden="1" x14ac:dyDescent="0.2">
      <c r="A128" s="39">
        <v>117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103"/>
      <c r="M128" s="105"/>
    </row>
    <row r="129" spans="1:15" s="139" customFormat="1" hidden="1" x14ac:dyDescent="0.2">
      <c r="A129" s="47">
        <v>118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103"/>
      <c r="M129" s="105"/>
    </row>
    <row r="130" spans="1:15" s="139" customFormat="1" hidden="1" x14ac:dyDescent="0.2">
      <c r="A130" s="39">
        <v>119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103"/>
      <c r="M130" s="105"/>
    </row>
    <row r="131" spans="1:15" s="139" customFormat="1" hidden="1" x14ac:dyDescent="0.2">
      <c r="A131" s="47">
        <v>120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103"/>
      <c r="M131" s="105"/>
    </row>
    <row r="132" spans="1:15" s="4" customFormat="1" hidden="1" x14ac:dyDescent="0.2">
      <c r="A132" s="39">
        <v>121</v>
      </c>
      <c r="B132" s="140" t="s">
        <v>206</v>
      </c>
      <c r="C132" s="56" t="s">
        <v>207</v>
      </c>
      <c r="D132" s="114"/>
      <c r="E132" s="114"/>
      <c r="F132" s="103">
        <f t="shared" ref="F132:J133" si="2">F133</f>
        <v>0</v>
      </c>
      <c r="G132" s="103">
        <f t="shared" si="2"/>
        <v>0</v>
      </c>
      <c r="H132" s="103">
        <f t="shared" si="2"/>
        <v>0</v>
      </c>
      <c r="I132" s="103">
        <f t="shared" si="2"/>
        <v>0</v>
      </c>
      <c r="J132" s="103">
        <f t="shared" si="2"/>
        <v>0</v>
      </c>
      <c r="K132" s="104"/>
      <c r="L132" s="103"/>
      <c r="M132" s="105"/>
    </row>
    <row r="133" spans="1:15" s="4" customFormat="1" hidden="1" x14ac:dyDescent="0.2">
      <c r="A133" s="47">
        <v>122</v>
      </c>
      <c r="B133" s="55" t="s">
        <v>208</v>
      </c>
      <c r="C133" s="75">
        <v>71</v>
      </c>
      <c r="D133" s="141"/>
      <c r="E133" s="141"/>
      <c r="F133" s="103">
        <f t="shared" si="2"/>
        <v>0</v>
      </c>
      <c r="G133" s="103">
        <f t="shared" si="2"/>
        <v>0</v>
      </c>
      <c r="H133" s="103">
        <f t="shared" si="2"/>
        <v>0</v>
      </c>
      <c r="I133" s="103">
        <f t="shared" si="2"/>
        <v>0</v>
      </c>
      <c r="J133" s="103">
        <f t="shared" si="2"/>
        <v>0</v>
      </c>
      <c r="K133" s="104"/>
      <c r="L133" s="103"/>
      <c r="M133" s="105"/>
    </row>
    <row r="134" spans="1:15" s="4" customFormat="1" hidden="1" x14ac:dyDescent="0.2">
      <c r="A134" s="39">
        <v>123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47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39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39">
        <v>126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47">
        <v>127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idden="1" x14ac:dyDescent="0.2">
      <c r="A139" s="39">
        <v>128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132" t="s">
        <v>388</v>
      </c>
      <c r="K143" s="1132"/>
      <c r="L143" s="1132"/>
      <c r="M143" s="1132"/>
      <c r="N143" s="156"/>
      <c r="O143" s="6"/>
    </row>
    <row r="144" spans="1:15" ht="12.75" customHeight="1" x14ac:dyDescent="0.2">
      <c r="J144" s="152" t="s">
        <v>389</v>
      </c>
      <c r="K144" s="4"/>
      <c r="L144" s="4"/>
      <c r="M144" s="4"/>
    </row>
    <row r="148" spans="8:8" ht="12.75" customHeight="1" x14ac:dyDescent="0.2">
      <c r="H148" s="334"/>
    </row>
  </sheetData>
  <sheetProtection selectLockedCells="1" selectUnlockedCells="1"/>
  <mergeCells count="13">
    <mergeCell ref="D9:D10"/>
    <mergeCell ref="E9:E10"/>
    <mergeCell ref="F9:F10"/>
    <mergeCell ref="G9:J9"/>
    <mergeCell ref="K9:M9"/>
    <mergeCell ref="J143:M143"/>
    <mergeCell ref="B5:M5"/>
    <mergeCell ref="B6:M6"/>
    <mergeCell ref="B7:I7"/>
    <mergeCell ref="A8:B8"/>
    <mergeCell ref="A9:A10"/>
    <mergeCell ref="B9:B10"/>
    <mergeCell ref="C9:C10"/>
  </mergeCells>
  <printOptions horizontalCentered="1"/>
  <pageMargins left="0.11805555555555555" right="0.19652777777777777" top="0.39374999999999999" bottom="0.31527777777777777" header="0.51180555555555551" footer="0.51180555555555551"/>
  <pageSetup scale="98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A9108-E31C-471B-8AEB-B5D9B9382546}">
  <sheetPr>
    <pageSetUpPr fitToPage="1"/>
  </sheetPr>
  <dimension ref="A1:P163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42578125" style="1" customWidth="1"/>
    <col min="4" max="4" width="9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B6" s="1119" t="s">
        <v>263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x14ac:dyDescent="0.2">
      <c r="B7" s="1164" t="s">
        <v>264</v>
      </c>
      <c r="C7" s="1164"/>
      <c r="D7" s="1164"/>
      <c r="E7" s="1164"/>
      <c r="F7" s="1164"/>
      <c r="G7" s="1164"/>
      <c r="H7" s="1164"/>
      <c r="I7" s="9"/>
      <c r="J7" s="9"/>
      <c r="K7" s="9"/>
      <c r="L7" s="9"/>
      <c r="M7" s="9"/>
    </row>
    <row r="8" spans="1:14" ht="12.6" customHeight="1" x14ac:dyDescent="0.2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156" t="s">
        <v>6</v>
      </c>
      <c r="B9" s="1137" t="s">
        <v>7</v>
      </c>
      <c r="C9" s="1124" t="s">
        <v>8</v>
      </c>
      <c r="D9" s="1126" t="s">
        <v>9</v>
      </c>
      <c r="E9" s="1157" t="s">
        <v>10</v>
      </c>
      <c r="F9" s="1158" t="s">
        <v>11</v>
      </c>
      <c r="G9" s="1159" t="s">
        <v>12</v>
      </c>
      <c r="H9" s="1159"/>
      <c r="I9" s="1159"/>
      <c r="J9" s="1159"/>
      <c r="K9" s="1160" t="s">
        <v>13</v>
      </c>
      <c r="L9" s="1160"/>
      <c r="M9" s="1160"/>
    </row>
    <row r="10" spans="1:14" s="4" customFormat="1" ht="48" customHeight="1" x14ac:dyDescent="0.2">
      <c r="A10" s="1156"/>
      <c r="B10" s="1137"/>
      <c r="C10" s="1124"/>
      <c r="D10" s="1126"/>
      <c r="E10" s="1157"/>
      <c r="F10" s="1158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7">
        <f>D12</f>
        <v>0</v>
      </c>
      <c r="E11" s="317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163">
        <f t="shared" ref="K11:M12" si="0">K12</f>
        <v>0</v>
      </c>
      <c r="L11" s="163">
        <f t="shared" si="0"/>
        <v>0</v>
      </c>
      <c r="M11" s="335">
        <f t="shared" si="0"/>
        <v>0</v>
      </c>
    </row>
    <row r="12" spans="1:14" s="4" customFormat="1" ht="22.5" customHeight="1" x14ac:dyDescent="0.2">
      <c r="A12" s="39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8">
        <f t="shared" si="0"/>
        <v>0</v>
      </c>
      <c r="L12" s="288">
        <f t="shared" si="0"/>
        <v>0</v>
      </c>
      <c r="M12" s="336">
        <f t="shared" si="0"/>
        <v>0</v>
      </c>
    </row>
    <row r="13" spans="1:14" s="4" customFormat="1" x14ac:dyDescent="0.2">
      <c r="A13" s="47">
        <v>3</v>
      </c>
      <c r="B13" s="157" t="s">
        <v>21</v>
      </c>
      <c r="C13" s="75" t="s">
        <v>22</v>
      </c>
      <c r="D13" s="53">
        <f>D34</f>
        <v>0</v>
      </c>
      <c r="E13" s="53">
        <f>E34</f>
        <v>0</v>
      </c>
      <c r="F13" s="43">
        <f>F14+F34+F92+F112</f>
        <v>0</v>
      </c>
      <c r="G13" s="43">
        <f>G14+G34+G92+G112</f>
        <v>0</v>
      </c>
      <c r="H13" s="43">
        <f>H14+H34+H92+H112</f>
        <v>0</v>
      </c>
      <c r="I13" s="43">
        <f>I14+I34+I92+I112</f>
        <v>0</v>
      </c>
      <c r="J13" s="43">
        <f>J14+J34+J92+J112</f>
        <v>0</v>
      </c>
      <c r="K13" s="163">
        <f>K34</f>
        <v>0</v>
      </c>
      <c r="L13" s="163">
        <f>L34</f>
        <v>0</v>
      </c>
      <c r="M13" s="335">
        <f>M34</f>
        <v>0</v>
      </c>
    </row>
    <row r="14" spans="1:14" s="4" customFormat="1" x14ac:dyDescent="0.2">
      <c r="A14" s="39">
        <v>4</v>
      </c>
      <c r="B14" s="160" t="s">
        <v>23</v>
      </c>
      <c r="C14" s="161" t="s">
        <v>24</v>
      </c>
      <c r="D14" s="53">
        <v>0</v>
      </c>
      <c r="E14" s="53">
        <v>0</v>
      </c>
      <c r="F14" s="43">
        <f>F15+F20+F26</f>
        <v>0</v>
      </c>
      <c r="G14" s="43">
        <f>G15+G20+G26</f>
        <v>0</v>
      </c>
      <c r="H14" s="43">
        <f>H15+H20+H26</f>
        <v>0</v>
      </c>
      <c r="I14" s="43">
        <f>I15+I20+I26</f>
        <v>0</v>
      </c>
      <c r="J14" s="43">
        <f>J15+J20+J26</f>
        <v>0</v>
      </c>
      <c r="K14" s="163"/>
      <c r="L14" s="163"/>
      <c r="M14" s="335"/>
    </row>
    <row r="15" spans="1:14" s="4" customFormat="1" x14ac:dyDescent="0.2">
      <c r="A15" s="47">
        <v>5</v>
      </c>
      <c r="B15" s="55" t="s">
        <v>25</v>
      </c>
      <c r="C15" s="161" t="s">
        <v>26</v>
      </c>
      <c r="D15" s="53">
        <v>0</v>
      </c>
      <c r="E15" s="53"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163"/>
      <c r="L15" s="163"/>
      <c r="M15" s="335"/>
    </row>
    <row r="16" spans="1:14" s="4" customFormat="1" x14ac:dyDescent="0.2">
      <c r="A16" s="47">
        <v>6</v>
      </c>
      <c r="B16" s="40" t="s">
        <v>27</v>
      </c>
      <c r="C16" s="41" t="s">
        <v>28</v>
      </c>
      <c r="D16" s="42"/>
      <c r="E16" s="42"/>
      <c r="F16" s="44"/>
      <c r="G16" s="44"/>
      <c r="H16" s="44"/>
      <c r="I16" s="44"/>
      <c r="J16" s="44"/>
      <c r="K16" s="165"/>
      <c r="L16" s="165"/>
      <c r="M16" s="337"/>
    </row>
    <row r="17" spans="1:16" s="4" customFormat="1" x14ac:dyDescent="0.2">
      <c r="A17" s="39">
        <v>7</v>
      </c>
      <c r="B17" s="40" t="s">
        <v>29</v>
      </c>
      <c r="C17" s="41" t="s">
        <v>30</v>
      </c>
      <c r="D17" s="42"/>
      <c r="E17" s="42"/>
      <c r="F17" s="44"/>
      <c r="G17" s="44"/>
      <c r="H17" s="44"/>
      <c r="I17" s="44"/>
      <c r="J17" s="44"/>
      <c r="K17" s="165"/>
      <c r="L17" s="165"/>
      <c r="M17" s="337"/>
      <c r="P17" s="48"/>
    </row>
    <row r="18" spans="1:16" s="4" customFormat="1" x14ac:dyDescent="0.2">
      <c r="A18" s="47">
        <v>8</v>
      </c>
      <c r="B18" s="40" t="s">
        <v>31</v>
      </c>
      <c r="C18" s="41" t="s">
        <v>32</v>
      </c>
      <c r="D18" s="42"/>
      <c r="E18" s="42"/>
      <c r="F18" s="44"/>
      <c r="G18" s="44"/>
      <c r="H18" s="44"/>
      <c r="I18" s="44">
        <v>0</v>
      </c>
      <c r="J18" s="44"/>
      <c r="K18" s="165"/>
      <c r="L18" s="165"/>
      <c r="M18" s="337"/>
      <c r="P18" s="48"/>
    </row>
    <row r="19" spans="1:16" s="4" customFormat="1" x14ac:dyDescent="0.2">
      <c r="A19" s="47">
        <v>9</v>
      </c>
      <c r="B19" s="4" t="s">
        <v>33</v>
      </c>
      <c r="C19" s="49" t="s">
        <v>34</v>
      </c>
      <c r="D19" s="50"/>
      <c r="E19" s="50"/>
      <c r="F19" s="44"/>
      <c r="G19" s="44"/>
      <c r="H19" s="44"/>
      <c r="I19" s="44"/>
      <c r="J19" s="44"/>
      <c r="K19" s="165"/>
      <c r="L19" s="165"/>
      <c r="M19" s="337"/>
      <c r="P19" s="48"/>
    </row>
    <row r="20" spans="1:16" s="4" customFormat="1" x14ac:dyDescent="0.2">
      <c r="A20" s="39">
        <v>10</v>
      </c>
      <c r="B20" s="40" t="s">
        <v>35</v>
      </c>
      <c r="C20" s="41" t="s">
        <v>36</v>
      </c>
      <c r="D20" s="42"/>
      <c r="E20" s="42"/>
      <c r="F20" s="44">
        <f>F21</f>
        <v>0</v>
      </c>
      <c r="G20" s="44">
        <f>G21</f>
        <v>0</v>
      </c>
      <c r="H20" s="44">
        <f>H21</f>
        <v>0</v>
      </c>
      <c r="I20" s="44">
        <f>I21</f>
        <v>0</v>
      </c>
      <c r="J20" s="44">
        <f>J21</f>
        <v>0</v>
      </c>
      <c r="K20" s="165"/>
      <c r="L20" s="165"/>
      <c r="M20" s="337"/>
      <c r="P20" s="48"/>
    </row>
    <row r="21" spans="1:16" s="4" customFormat="1" x14ac:dyDescent="0.2">
      <c r="A21" s="47">
        <v>11</v>
      </c>
      <c r="B21" s="40" t="s">
        <v>37</v>
      </c>
      <c r="C21" s="41" t="s">
        <v>38</v>
      </c>
      <c r="D21" s="42"/>
      <c r="E21" s="42"/>
      <c r="F21" s="44"/>
      <c r="G21" s="44"/>
      <c r="H21" s="44"/>
      <c r="I21" s="44"/>
      <c r="J21" s="44"/>
      <c r="K21" s="165"/>
      <c r="L21" s="165"/>
      <c r="M21" s="337"/>
      <c r="P21" s="48"/>
    </row>
    <row r="22" spans="1:16" s="4" customFormat="1" x14ac:dyDescent="0.2">
      <c r="A22" s="47"/>
      <c r="B22" s="40" t="s">
        <v>39</v>
      </c>
      <c r="C22" s="41" t="s">
        <v>40</v>
      </c>
      <c r="D22" s="42"/>
      <c r="E22" s="42"/>
      <c r="F22" s="44"/>
      <c r="G22" s="44"/>
      <c r="H22" s="44"/>
      <c r="I22" s="44"/>
      <c r="J22" s="44"/>
      <c r="K22" s="165"/>
      <c r="L22" s="165"/>
      <c r="M22" s="337"/>
      <c r="P22" s="48"/>
    </row>
    <row r="23" spans="1:16" s="4" customFormat="1" x14ac:dyDescent="0.2">
      <c r="A23" s="47">
        <v>12</v>
      </c>
      <c r="B23" s="40" t="s">
        <v>230</v>
      </c>
      <c r="C23" s="54" t="s">
        <v>231</v>
      </c>
      <c r="D23" s="42"/>
      <c r="E23" s="42"/>
      <c r="F23" s="44"/>
      <c r="G23" s="44"/>
      <c r="H23" s="44"/>
      <c r="I23" s="44"/>
      <c r="J23" s="44"/>
      <c r="K23" s="165"/>
      <c r="L23" s="165"/>
      <c r="M23" s="337"/>
      <c r="P23" s="48"/>
    </row>
    <row r="24" spans="1:16" s="4" customFormat="1" x14ac:dyDescent="0.2">
      <c r="A24" s="39">
        <v>13</v>
      </c>
      <c r="B24" s="40" t="s">
        <v>41</v>
      </c>
      <c r="C24" s="52" t="s">
        <v>42</v>
      </c>
      <c r="D24" s="53">
        <v>0</v>
      </c>
      <c r="E24" s="53">
        <v>0</v>
      </c>
      <c r="F24" s="44"/>
      <c r="G24" s="44"/>
      <c r="H24" s="44"/>
      <c r="I24" s="44"/>
      <c r="J24" s="44"/>
      <c r="K24" s="165"/>
      <c r="L24" s="165"/>
      <c r="M24" s="337"/>
      <c r="P24" s="48"/>
    </row>
    <row r="25" spans="1:16" s="4" customFormat="1" x14ac:dyDescent="0.2">
      <c r="A25" s="47">
        <v>14</v>
      </c>
      <c r="B25" s="40" t="s">
        <v>43</v>
      </c>
      <c r="C25" s="54" t="s">
        <v>44</v>
      </c>
      <c r="D25" s="42">
        <v>0</v>
      </c>
      <c r="E25" s="42">
        <v>0</v>
      </c>
      <c r="F25" s="44"/>
      <c r="G25" s="44"/>
      <c r="H25" s="44"/>
      <c r="I25" s="44"/>
      <c r="J25" s="44"/>
      <c r="K25" s="165"/>
      <c r="L25" s="165"/>
      <c r="M25" s="337"/>
      <c r="P25" s="48"/>
    </row>
    <row r="26" spans="1:16" s="4" customFormat="1" x14ac:dyDescent="0.2">
      <c r="A26" s="47">
        <v>15</v>
      </c>
      <c r="B26" s="55" t="s">
        <v>45</v>
      </c>
      <c r="C26" s="56" t="s">
        <v>46</v>
      </c>
      <c r="D26" s="53">
        <v>0</v>
      </c>
      <c r="E26" s="53"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163"/>
      <c r="L26" s="163"/>
      <c r="M26" s="335"/>
    </row>
    <row r="27" spans="1:16" s="4" customFormat="1" x14ac:dyDescent="0.2">
      <c r="A27" s="39">
        <v>16</v>
      </c>
      <c r="B27" s="59" t="s">
        <v>47</v>
      </c>
      <c r="C27" s="41" t="s">
        <v>48</v>
      </c>
      <c r="D27" s="42"/>
      <c r="E27" s="42"/>
      <c r="F27" s="44"/>
      <c r="G27" s="44"/>
      <c r="H27" s="44"/>
      <c r="I27" s="44"/>
      <c r="J27" s="44"/>
      <c r="K27" s="165"/>
      <c r="L27" s="165"/>
      <c r="M27" s="337"/>
    </row>
    <row r="28" spans="1:16" s="4" customFormat="1" x14ac:dyDescent="0.2">
      <c r="A28" s="47">
        <v>17</v>
      </c>
      <c r="B28" s="59" t="s">
        <v>49</v>
      </c>
      <c r="C28" s="41" t="s">
        <v>50</v>
      </c>
      <c r="D28" s="42"/>
      <c r="E28" s="42"/>
      <c r="F28" s="44"/>
      <c r="G28" s="44"/>
      <c r="H28" s="44"/>
      <c r="I28" s="44"/>
      <c r="J28" s="44"/>
      <c r="K28" s="165"/>
      <c r="L28" s="165"/>
      <c r="M28" s="337"/>
    </row>
    <row r="29" spans="1:16" s="4" customFormat="1" x14ac:dyDescent="0.2">
      <c r="A29" s="47">
        <v>18</v>
      </c>
      <c r="B29" s="59" t="s">
        <v>51</v>
      </c>
      <c r="C29" s="41" t="s">
        <v>52</v>
      </c>
      <c r="D29" s="42"/>
      <c r="E29" s="42"/>
      <c r="F29" s="44"/>
      <c r="G29" s="44"/>
      <c r="H29" s="44"/>
      <c r="I29" s="44"/>
      <c r="J29" s="44"/>
      <c r="K29" s="165"/>
      <c r="L29" s="165"/>
      <c r="M29" s="337"/>
    </row>
    <row r="30" spans="1:16" s="4" customFormat="1" ht="25.5" x14ac:dyDescent="0.2">
      <c r="A30" s="39">
        <v>19</v>
      </c>
      <c r="B30" s="60" t="s">
        <v>53</v>
      </c>
      <c r="C30" s="61" t="s">
        <v>54</v>
      </c>
      <c r="D30" s="42"/>
      <c r="E30" s="42"/>
      <c r="F30" s="44"/>
      <c r="G30" s="44"/>
      <c r="H30" s="44"/>
      <c r="I30" s="44"/>
      <c r="J30" s="44"/>
      <c r="K30" s="165"/>
      <c r="L30" s="165"/>
      <c r="M30" s="337"/>
    </row>
    <row r="31" spans="1:16" s="4" customFormat="1" x14ac:dyDescent="0.2">
      <c r="A31" s="47">
        <v>20</v>
      </c>
      <c r="B31" s="59" t="s">
        <v>55</v>
      </c>
      <c r="C31" s="41" t="s">
        <v>56</v>
      </c>
      <c r="D31" s="42"/>
      <c r="E31" s="42"/>
      <c r="F31" s="44"/>
      <c r="G31" s="44"/>
      <c r="H31" s="44"/>
      <c r="I31" s="44"/>
      <c r="J31" s="44"/>
      <c r="K31" s="165"/>
      <c r="L31" s="165"/>
      <c r="M31" s="337"/>
    </row>
    <row r="32" spans="1:16" s="4" customFormat="1" x14ac:dyDescent="0.2">
      <c r="A32" s="39">
        <v>21</v>
      </c>
      <c r="B32" s="59" t="s">
        <v>57</v>
      </c>
      <c r="C32" s="41" t="s">
        <v>58</v>
      </c>
      <c r="D32" s="42"/>
      <c r="E32" s="42"/>
      <c r="F32" s="44"/>
      <c r="G32" s="44"/>
      <c r="H32" s="44"/>
      <c r="I32" s="44"/>
      <c r="J32" s="44"/>
      <c r="K32" s="165"/>
      <c r="L32" s="165"/>
      <c r="M32" s="337"/>
    </row>
    <row r="33" spans="1:13" s="4" customFormat="1" x14ac:dyDescent="0.2">
      <c r="A33" s="47">
        <v>22</v>
      </c>
      <c r="B33" s="59" t="s">
        <v>59</v>
      </c>
      <c r="C33" s="41" t="s">
        <v>60</v>
      </c>
      <c r="D33" s="42"/>
      <c r="E33" s="42"/>
      <c r="F33" s="44"/>
      <c r="G33" s="44"/>
      <c r="H33" s="44"/>
      <c r="I33" s="44"/>
      <c r="J33" s="44"/>
      <c r="K33" s="165"/>
      <c r="L33" s="165"/>
      <c r="M33" s="337"/>
    </row>
    <row r="34" spans="1:13" s="4" customFormat="1" ht="25.5" x14ac:dyDescent="0.2">
      <c r="A34" s="47">
        <v>23</v>
      </c>
      <c r="B34" s="169" t="s">
        <v>61</v>
      </c>
      <c r="C34" s="170">
        <v>20</v>
      </c>
      <c r="D34" s="171">
        <f>D58+D78</f>
        <v>0</v>
      </c>
      <c r="E34" s="171">
        <f>E58+E78</f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163">
        <v>0</v>
      </c>
      <c r="L34" s="163">
        <f>K34*102.9/100</f>
        <v>0</v>
      </c>
      <c r="M34" s="335">
        <f>L34*102.6/100</f>
        <v>0</v>
      </c>
    </row>
    <row r="35" spans="1:13" s="4" customFormat="1" x14ac:dyDescent="0.2">
      <c r="A35" s="39">
        <v>24</v>
      </c>
      <c r="B35" s="160" t="s">
        <v>62</v>
      </c>
      <c r="C35" s="56" t="s">
        <v>63</v>
      </c>
      <c r="D35" s="53"/>
      <c r="E35" s="53"/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163"/>
      <c r="L35" s="163"/>
      <c r="M35" s="335"/>
    </row>
    <row r="36" spans="1:13" s="4" customFormat="1" x14ac:dyDescent="0.2">
      <c r="A36" s="47">
        <v>25</v>
      </c>
      <c r="B36" s="55" t="s">
        <v>64</v>
      </c>
      <c r="C36" s="56" t="s">
        <v>65</v>
      </c>
      <c r="D36" s="53"/>
      <c r="E36" s="53"/>
      <c r="F36" s="44">
        <f>F37+F38+F39</f>
        <v>0</v>
      </c>
      <c r="G36" s="44">
        <f>G37+G38+G39</f>
        <v>0</v>
      </c>
      <c r="H36" s="44">
        <f>H37+H38+H39</f>
        <v>0</v>
      </c>
      <c r="I36" s="44">
        <f>I37+I38+I39</f>
        <v>0</v>
      </c>
      <c r="J36" s="44">
        <f>J37+J38+J39</f>
        <v>0</v>
      </c>
      <c r="K36" s="165"/>
      <c r="L36" s="165"/>
      <c r="M36" s="337"/>
    </row>
    <row r="37" spans="1:13" s="4" customFormat="1" x14ac:dyDescent="0.2">
      <c r="A37" s="47">
        <v>26</v>
      </c>
      <c r="B37" s="59" t="s">
        <v>64</v>
      </c>
      <c r="C37" s="41"/>
      <c r="D37" s="42"/>
      <c r="E37" s="42"/>
      <c r="F37" s="44"/>
      <c r="G37" s="44"/>
      <c r="H37" s="44"/>
      <c r="I37" s="44"/>
      <c r="J37" s="44"/>
      <c r="K37" s="165"/>
      <c r="L37" s="165"/>
      <c r="M37" s="337"/>
    </row>
    <row r="38" spans="1:13" s="4" customFormat="1" x14ac:dyDescent="0.2">
      <c r="A38" s="39">
        <v>27</v>
      </c>
      <c r="B38" s="59" t="s">
        <v>66</v>
      </c>
      <c r="C38" s="41"/>
      <c r="D38" s="42"/>
      <c r="E38" s="42"/>
      <c r="F38" s="44"/>
      <c r="G38" s="44"/>
      <c r="H38" s="44"/>
      <c r="I38" s="44"/>
      <c r="J38" s="44"/>
      <c r="K38" s="165"/>
      <c r="L38" s="165"/>
      <c r="M38" s="337"/>
    </row>
    <row r="39" spans="1:13" s="4" customFormat="1" x14ac:dyDescent="0.2">
      <c r="A39" s="47">
        <v>28</v>
      </c>
      <c r="B39" s="59" t="s">
        <v>67</v>
      </c>
      <c r="C39" s="41"/>
      <c r="D39" s="42"/>
      <c r="E39" s="42"/>
      <c r="F39" s="44"/>
      <c r="G39" s="44"/>
      <c r="H39" s="44"/>
      <c r="I39" s="44"/>
      <c r="J39" s="44"/>
      <c r="K39" s="165"/>
      <c r="L39" s="165"/>
      <c r="M39" s="337"/>
    </row>
    <row r="40" spans="1:13" s="4" customFormat="1" x14ac:dyDescent="0.2">
      <c r="A40" s="47">
        <v>29</v>
      </c>
      <c r="B40" s="55" t="s">
        <v>68</v>
      </c>
      <c r="C40" s="56" t="s">
        <v>69</v>
      </c>
      <c r="D40" s="53"/>
      <c r="E40" s="53"/>
      <c r="F40" s="44">
        <f>F41+F42</f>
        <v>0</v>
      </c>
      <c r="G40" s="44">
        <f>G41+G42</f>
        <v>0</v>
      </c>
      <c r="H40" s="44">
        <f>H41+H42</f>
        <v>0</v>
      </c>
      <c r="I40" s="44">
        <f>I41+I42</f>
        <v>0</v>
      </c>
      <c r="J40" s="44">
        <f>J41+J42</f>
        <v>0</v>
      </c>
      <c r="K40" s="165"/>
      <c r="L40" s="165"/>
      <c r="M40" s="337"/>
    </row>
    <row r="41" spans="1:13" s="4" customFormat="1" x14ac:dyDescent="0.2">
      <c r="A41" s="39">
        <v>30</v>
      </c>
      <c r="B41" s="59" t="s">
        <v>68</v>
      </c>
      <c r="C41" s="56"/>
      <c r="D41" s="53"/>
      <c r="E41" s="53"/>
      <c r="F41" s="44"/>
      <c r="G41" s="44"/>
      <c r="H41" s="44"/>
      <c r="I41" s="44"/>
      <c r="J41" s="44"/>
      <c r="K41" s="165"/>
      <c r="L41" s="165"/>
      <c r="M41" s="337"/>
    </row>
    <row r="42" spans="1:13" s="4" customFormat="1" x14ac:dyDescent="0.2">
      <c r="A42" s="47">
        <v>31</v>
      </c>
      <c r="B42" s="59" t="s">
        <v>71</v>
      </c>
      <c r="C42" s="56"/>
      <c r="D42" s="53"/>
      <c r="E42" s="53"/>
      <c r="F42" s="44"/>
      <c r="G42" s="44"/>
      <c r="H42" s="44"/>
      <c r="I42" s="44"/>
      <c r="J42" s="44"/>
      <c r="K42" s="165"/>
      <c r="L42" s="165"/>
      <c r="M42" s="337"/>
    </row>
    <row r="43" spans="1:13" s="4" customFormat="1" x14ac:dyDescent="0.2">
      <c r="A43" s="47">
        <v>32</v>
      </c>
      <c r="B43" s="59" t="s">
        <v>72</v>
      </c>
      <c r="C43" s="41" t="s">
        <v>73</v>
      </c>
      <c r="D43" s="42"/>
      <c r="E43" s="42"/>
      <c r="F43" s="44"/>
      <c r="G43" s="44"/>
      <c r="H43" s="44"/>
      <c r="I43" s="44"/>
      <c r="J43" s="44"/>
      <c r="K43" s="165"/>
      <c r="L43" s="165"/>
      <c r="M43" s="337"/>
    </row>
    <row r="44" spans="1:13" s="4" customFormat="1" x14ac:dyDescent="0.2">
      <c r="A44" s="39">
        <v>33</v>
      </c>
      <c r="B44" s="59" t="s">
        <v>74</v>
      </c>
      <c r="C44" s="41" t="s">
        <v>75</v>
      </c>
      <c r="D44" s="42"/>
      <c r="E44" s="42"/>
      <c r="F44" s="44"/>
      <c r="G44" s="44"/>
      <c r="H44" s="44"/>
      <c r="I44" s="44"/>
      <c r="J44" s="44"/>
      <c r="K44" s="165"/>
      <c r="L44" s="165"/>
      <c r="M44" s="337"/>
    </row>
    <row r="45" spans="1:13" s="4" customFormat="1" x14ac:dyDescent="0.2">
      <c r="A45" s="47">
        <v>34</v>
      </c>
      <c r="B45" s="59" t="s">
        <v>76</v>
      </c>
      <c r="C45" s="41" t="s">
        <v>77</v>
      </c>
      <c r="D45" s="42"/>
      <c r="E45" s="42"/>
      <c r="F45" s="44"/>
      <c r="G45" s="44"/>
      <c r="H45" s="44"/>
      <c r="I45" s="44"/>
      <c r="J45" s="44"/>
      <c r="K45" s="165"/>
      <c r="L45" s="165"/>
      <c r="M45" s="337"/>
    </row>
    <row r="46" spans="1:13" s="4" customFormat="1" x14ac:dyDescent="0.2">
      <c r="A46" s="47">
        <v>35</v>
      </c>
      <c r="B46" s="59" t="s">
        <v>78</v>
      </c>
      <c r="C46" s="41" t="s">
        <v>79</v>
      </c>
      <c r="D46" s="42"/>
      <c r="E46" s="42"/>
      <c r="F46" s="44"/>
      <c r="G46" s="44"/>
      <c r="H46" s="44"/>
      <c r="I46" s="44"/>
      <c r="J46" s="44"/>
      <c r="K46" s="165"/>
      <c r="L46" s="165"/>
      <c r="M46" s="337"/>
    </row>
    <row r="47" spans="1:13" s="4" customFormat="1" x14ac:dyDescent="0.2">
      <c r="A47" s="39">
        <v>36</v>
      </c>
      <c r="B47" s="59" t="s">
        <v>80</v>
      </c>
      <c r="C47" s="41" t="s">
        <v>81</v>
      </c>
      <c r="D47" s="42"/>
      <c r="E47" s="42"/>
      <c r="F47" s="44">
        <f>F48+F49</f>
        <v>0</v>
      </c>
      <c r="G47" s="44">
        <f>G48+G49</f>
        <v>0</v>
      </c>
      <c r="H47" s="44">
        <f>H48+H49</f>
        <v>0</v>
      </c>
      <c r="I47" s="44">
        <f>I48+I49</f>
        <v>0</v>
      </c>
      <c r="J47" s="44">
        <f>J48+J49</f>
        <v>0</v>
      </c>
      <c r="K47" s="165"/>
      <c r="L47" s="165"/>
      <c r="M47" s="337"/>
    </row>
    <row r="48" spans="1:13" s="4" customFormat="1" x14ac:dyDescent="0.2">
      <c r="A48" s="47">
        <v>37</v>
      </c>
      <c r="B48" s="59" t="s">
        <v>80</v>
      </c>
      <c r="C48" s="41"/>
      <c r="D48" s="42"/>
      <c r="E48" s="42"/>
      <c r="F48" s="44"/>
      <c r="G48" s="44"/>
      <c r="H48" s="44"/>
      <c r="I48" s="44"/>
      <c r="J48" s="44"/>
      <c r="K48" s="165"/>
      <c r="L48" s="165"/>
      <c r="M48" s="337"/>
    </row>
    <row r="49" spans="1:13" s="4" customFormat="1" x14ac:dyDescent="0.2">
      <c r="A49" s="39">
        <v>38</v>
      </c>
      <c r="B49" s="59" t="s">
        <v>82</v>
      </c>
      <c r="C49" s="41"/>
      <c r="D49" s="42"/>
      <c r="E49" s="42"/>
      <c r="F49" s="44"/>
      <c r="G49" s="44"/>
      <c r="H49" s="44"/>
      <c r="I49" s="44"/>
      <c r="J49" s="44"/>
      <c r="K49" s="165"/>
      <c r="L49" s="165"/>
      <c r="M49" s="337"/>
    </row>
    <row r="50" spans="1:13" s="4" customFormat="1" x14ac:dyDescent="0.2">
      <c r="A50" s="47">
        <v>39</v>
      </c>
      <c r="B50" s="73" t="s">
        <v>83</v>
      </c>
      <c r="C50" s="56" t="s">
        <v>84</v>
      </c>
      <c r="D50" s="53"/>
      <c r="E50" s="53"/>
      <c r="F50" s="44">
        <f>F51+F52</f>
        <v>0</v>
      </c>
      <c r="G50" s="44">
        <f>G51+G52</f>
        <v>0</v>
      </c>
      <c r="H50" s="44">
        <f>H51+H52</f>
        <v>0</v>
      </c>
      <c r="I50" s="44">
        <f>I51+I52</f>
        <v>0</v>
      </c>
      <c r="J50" s="44">
        <f>J51+J52</f>
        <v>0</v>
      </c>
      <c r="K50" s="165"/>
      <c r="L50" s="165"/>
      <c r="M50" s="337"/>
    </row>
    <row r="51" spans="1:13" s="4" customFormat="1" x14ac:dyDescent="0.2">
      <c r="A51" s="47">
        <v>40</v>
      </c>
      <c r="B51" s="74" t="s">
        <v>83</v>
      </c>
      <c r="C51" s="41"/>
      <c r="D51" s="42"/>
      <c r="E51" s="42"/>
      <c r="F51" s="44"/>
      <c r="G51" s="44"/>
      <c r="H51" s="44"/>
      <c r="I51" s="44"/>
      <c r="J51" s="44"/>
      <c r="K51" s="165"/>
      <c r="L51" s="165"/>
      <c r="M51" s="337"/>
    </row>
    <row r="52" spans="1:13" s="4" customFormat="1" x14ac:dyDescent="0.2">
      <c r="A52" s="39">
        <v>41</v>
      </c>
      <c r="B52" s="74" t="s">
        <v>85</v>
      </c>
      <c r="C52" s="41"/>
      <c r="D52" s="42"/>
      <c r="E52" s="42"/>
      <c r="F52" s="44"/>
      <c r="G52" s="44"/>
      <c r="H52" s="44"/>
      <c r="I52" s="44"/>
      <c r="J52" s="44"/>
      <c r="K52" s="165"/>
      <c r="L52" s="165"/>
      <c r="M52" s="337"/>
    </row>
    <row r="53" spans="1:13" s="4" customFormat="1" x14ac:dyDescent="0.2">
      <c r="A53" s="47">
        <v>42</v>
      </c>
      <c r="B53" s="55" t="s">
        <v>86</v>
      </c>
      <c r="C53" s="56" t="s">
        <v>87</v>
      </c>
      <c r="D53" s="53"/>
      <c r="E53" s="53"/>
      <c r="F53" s="44">
        <f>F54+F55+F56</f>
        <v>0</v>
      </c>
      <c r="G53" s="44">
        <f>G54+G55+G56</f>
        <v>0</v>
      </c>
      <c r="H53" s="44">
        <f>H54+H55+H56</f>
        <v>0</v>
      </c>
      <c r="I53" s="44">
        <f>I54+I55+I56</f>
        <v>0</v>
      </c>
      <c r="J53" s="44">
        <f>J54+J55+J56</f>
        <v>0</v>
      </c>
      <c r="K53" s="165"/>
      <c r="L53" s="165"/>
      <c r="M53" s="337"/>
    </row>
    <row r="54" spans="1:13" s="4" customFormat="1" x14ac:dyDescent="0.2">
      <c r="A54" s="47">
        <v>43</v>
      </c>
      <c r="B54" s="59" t="s">
        <v>88</v>
      </c>
      <c r="C54" s="41"/>
      <c r="D54" s="42"/>
      <c r="E54" s="42"/>
      <c r="F54" s="44"/>
      <c r="G54" s="44"/>
      <c r="H54" s="44"/>
      <c r="I54" s="44"/>
      <c r="J54" s="44"/>
      <c r="K54" s="165"/>
      <c r="L54" s="165"/>
      <c r="M54" s="337"/>
    </row>
    <row r="55" spans="1:13" s="4" customFormat="1" x14ac:dyDescent="0.2">
      <c r="A55" s="39">
        <v>44</v>
      </c>
      <c r="B55" s="59" t="s">
        <v>89</v>
      </c>
      <c r="C55" s="41"/>
      <c r="D55" s="42"/>
      <c r="E55" s="42"/>
      <c r="F55" s="44"/>
      <c r="G55" s="44"/>
      <c r="H55" s="44"/>
      <c r="I55" s="44"/>
      <c r="J55" s="44"/>
      <c r="K55" s="165"/>
      <c r="L55" s="165"/>
      <c r="M55" s="337"/>
    </row>
    <row r="56" spans="1:13" s="4" customFormat="1" x14ac:dyDescent="0.2">
      <c r="A56" s="47">
        <v>45</v>
      </c>
      <c r="B56" s="59" t="s">
        <v>233</v>
      </c>
      <c r="C56" s="41"/>
      <c r="D56" s="42"/>
      <c r="E56" s="42"/>
      <c r="F56" s="43"/>
      <c r="G56" s="43"/>
      <c r="H56" s="43"/>
      <c r="I56" s="43"/>
      <c r="J56" s="43"/>
      <c r="K56" s="163"/>
      <c r="L56" s="163"/>
      <c r="M56" s="335"/>
    </row>
    <row r="57" spans="1:13" s="4" customFormat="1" x14ac:dyDescent="0.2">
      <c r="A57" s="47">
        <v>46</v>
      </c>
      <c r="B57" s="55" t="s">
        <v>91</v>
      </c>
      <c r="C57" s="75" t="s">
        <v>92</v>
      </c>
      <c r="D57" s="53"/>
      <c r="E57" s="53"/>
      <c r="F57" s="43"/>
      <c r="G57" s="43"/>
      <c r="H57" s="43"/>
      <c r="I57" s="43"/>
      <c r="J57" s="43"/>
      <c r="K57" s="163"/>
      <c r="L57" s="163"/>
      <c r="M57" s="335"/>
    </row>
    <row r="58" spans="1:13" s="4" customFormat="1" x14ac:dyDescent="0.2">
      <c r="A58" s="39">
        <v>47</v>
      </c>
      <c r="B58" s="74" t="s">
        <v>93</v>
      </c>
      <c r="C58" s="56" t="s">
        <v>94</v>
      </c>
      <c r="D58" s="53">
        <v>0</v>
      </c>
      <c r="E58" s="53">
        <v>0</v>
      </c>
      <c r="F58" s="43">
        <f>G58+H58+I58+J58</f>
        <v>0</v>
      </c>
      <c r="G58" s="43">
        <v>0</v>
      </c>
      <c r="H58" s="43">
        <v>0</v>
      </c>
      <c r="I58" s="43">
        <v>0</v>
      </c>
      <c r="J58" s="43">
        <v>0</v>
      </c>
      <c r="K58" s="163"/>
      <c r="L58" s="163"/>
      <c r="M58" s="335"/>
    </row>
    <row r="59" spans="1:13" s="4" customFormat="1" x14ac:dyDescent="0.2">
      <c r="A59" s="47">
        <v>48</v>
      </c>
      <c r="B59" s="55" t="s">
        <v>95</v>
      </c>
      <c r="C59" s="56" t="s">
        <v>96</v>
      </c>
      <c r="D59" s="53">
        <v>0</v>
      </c>
      <c r="E59" s="53">
        <v>0</v>
      </c>
      <c r="F59" s="103">
        <f>F60+F61+F62</f>
        <v>0</v>
      </c>
      <c r="G59" s="103">
        <f>G60+G61+G62</f>
        <v>0</v>
      </c>
      <c r="H59" s="103">
        <f>H60+H61+H62</f>
        <v>0</v>
      </c>
      <c r="I59" s="103">
        <f>I60+I61+I62</f>
        <v>0</v>
      </c>
      <c r="J59" s="103">
        <f>J60+J61+J62</f>
        <v>0</v>
      </c>
      <c r="K59" s="338"/>
      <c r="L59" s="338"/>
      <c r="M59" s="339"/>
    </row>
    <row r="60" spans="1:13" s="4" customFormat="1" x14ac:dyDescent="0.2">
      <c r="A60" s="47">
        <v>49</v>
      </c>
      <c r="B60" s="59" t="s">
        <v>97</v>
      </c>
      <c r="C60" s="41" t="s">
        <v>98</v>
      </c>
      <c r="D60" s="42"/>
      <c r="E60" s="42"/>
      <c r="F60" s="91"/>
      <c r="G60" s="91"/>
      <c r="H60" s="91"/>
      <c r="I60" s="91"/>
      <c r="J60" s="91"/>
      <c r="K60" s="340"/>
      <c r="L60" s="340"/>
      <c r="M60" s="341"/>
    </row>
    <row r="61" spans="1:13" s="4" customFormat="1" x14ac:dyDescent="0.2">
      <c r="A61" s="39">
        <v>50</v>
      </c>
      <c r="B61" s="59" t="s">
        <v>99</v>
      </c>
      <c r="C61" s="41" t="s">
        <v>100</v>
      </c>
      <c r="D61" s="42"/>
      <c r="E61" s="42"/>
      <c r="F61" s="91"/>
      <c r="G61" s="91"/>
      <c r="H61" s="91"/>
      <c r="I61" s="91"/>
      <c r="J61" s="91"/>
      <c r="K61" s="340"/>
      <c r="L61" s="340"/>
      <c r="M61" s="341"/>
    </row>
    <row r="62" spans="1:13" s="4" customFormat="1" x14ac:dyDescent="0.2">
      <c r="A62" s="47">
        <v>51</v>
      </c>
      <c r="B62" s="59" t="s">
        <v>101</v>
      </c>
      <c r="C62" s="41" t="s">
        <v>102</v>
      </c>
      <c r="D62" s="42"/>
      <c r="E62" s="42"/>
      <c r="F62" s="91"/>
      <c r="G62" s="91"/>
      <c r="H62" s="91"/>
      <c r="I62" s="91"/>
      <c r="J62" s="91"/>
      <c r="K62" s="340"/>
      <c r="L62" s="340"/>
      <c r="M62" s="341"/>
    </row>
    <row r="63" spans="1:13" s="4" customFormat="1" x14ac:dyDescent="0.2">
      <c r="A63" s="47">
        <v>52</v>
      </c>
      <c r="B63" s="59" t="s">
        <v>234</v>
      </c>
      <c r="C63" s="41" t="s">
        <v>102</v>
      </c>
      <c r="D63" s="42"/>
      <c r="E63" s="42"/>
      <c r="F63" s="91"/>
      <c r="G63" s="91"/>
      <c r="H63" s="91"/>
      <c r="I63" s="91"/>
      <c r="J63" s="91"/>
      <c r="K63" s="340"/>
      <c r="L63" s="340"/>
      <c r="M63" s="341"/>
    </row>
    <row r="64" spans="1:13" s="4" customFormat="1" x14ac:dyDescent="0.2">
      <c r="A64" s="39">
        <v>53</v>
      </c>
      <c r="B64" s="76" t="s">
        <v>104</v>
      </c>
      <c r="C64" s="56" t="s">
        <v>105</v>
      </c>
      <c r="D64" s="53">
        <v>0</v>
      </c>
      <c r="E64" s="53">
        <v>0</v>
      </c>
      <c r="F64" s="103">
        <f>F65+F66+F67</f>
        <v>0</v>
      </c>
      <c r="G64" s="103">
        <f>G65+G66+G67</f>
        <v>0</v>
      </c>
      <c r="H64" s="103">
        <f>H65+H66+H67</f>
        <v>0</v>
      </c>
      <c r="I64" s="103">
        <f>I65+I66+I67</f>
        <v>0</v>
      </c>
      <c r="J64" s="103">
        <f>J65+J66+J67</f>
        <v>0</v>
      </c>
      <c r="K64" s="338"/>
      <c r="L64" s="338"/>
      <c r="M64" s="339"/>
    </row>
    <row r="65" spans="1:13" s="4" customFormat="1" x14ac:dyDescent="0.2">
      <c r="A65" s="47">
        <v>54</v>
      </c>
      <c r="B65" s="59" t="s">
        <v>106</v>
      </c>
      <c r="C65" s="41" t="s">
        <v>107</v>
      </c>
      <c r="D65" s="42">
        <v>0</v>
      </c>
      <c r="E65" s="42">
        <v>0</v>
      </c>
      <c r="F65" s="103"/>
      <c r="G65" s="103"/>
      <c r="H65" s="103"/>
      <c r="I65" s="103"/>
      <c r="J65" s="103"/>
      <c r="K65" s="338"/>
      <c r="L65" s="338"/>
      <c r="M65" s="339"/>
    </row>
    <row r="66" spans="1:13" s="4" customFormat="1" x14ac:dyDescent="0.2">
      <c r="A66" s="39">
        <v>55</v>
      </c>
      <c r="B66" s="59" t="s">
        <v>108</v>
      </c>
      <c r="C66" s="41" t="s">
        <v>109</v>
      </c>
      <c r="D66" s="42">
        <v>0</v>
      </c>
      <c r="E66" s="42">
        <v>0</v>
      </c>
      <c r="F66" s="91"/>
      <c r="G66" s="91"/>
      <c r="H66" s="91"/>
      <c r="I66" s="91"/>
      <c r="J66" s="91"/>
      <c r="K66" s="340"/>
      <c r="L66" s="340"/>
      <c r="M66" s="341"/>
    </row>
    <row r="67" spans="1:13" s="4" customFormat="1" x14ac:dyDescent="0.2">
      <c r="A67" s="47">
        <v>56</v>
      </c>
      <c r="B67" s="59" t="s">
        <v>110</v>
      </c>
      <c r="C67" s="41" t="s">
        <v>111</v>
      </c>
      <c r="D67" s="42">
        <v>0</v>
      </c>
      <c r="E67" s="42">
        <v>0</v>
      </c>
      <c r="F67" s="91"/>
      <c r="G67" s="91"/>
      <c r="H67" s="91"/>
      <c r="I67" s="91"/>
      <c r="J67" s="91"/>
      <c r="K67" s="340"/>
      <c r="L67" s="340"/>
      <c r="M67" s="341"/>
    </row>
    <row r="68" spans="1:13" s="4" customFormat="1" x14ac:dyDescent="0.2">
      <c r="A68" s="47">
        <v>57</v>
      </c>
      <c r="B68" s="59" t="s">
        <v>235</v>
      </c>
      <c r="C68" s="41"/>
      <c r="D68" s="42">
        <v>0</v>
      </c>
      <c r="E68" s="42">
        <v>0</v>
      </c>
      <c r="F68" s="91"/>
      <c r="G68" s="91"/>
      <c r="H68" s="91"/>
      <c r="I68" s="91"/>
      <c r="J68" s="91"/>
      <c r="K68" s="340"/>
      <c r="L68" s="340"/>
      <c r="M68" s="341"/>
    </row>
    <row r="69" spans="1:13" s="4" customFormat="1" x14ac:dyDescent="0.2">
      <c r="A69" s="39">
        <v>58</v>
      </c>
      <c r="B69" s="77" t="s">
        <v>113</v>
      </c>
      <c r="C69" s="56" t="s">
        <v>114</v>
      </c>
      <c r="D69" s="53">
        <v>0</v>
      </c>
      <c r="E69" s="53">
        <v>0</v>
      </c>
      <c r="F69" s="103">
        <f>F70+F71</f>
        <v>0</v>
      </c>
      <c r="G69" s="103">
        <f>G70+G71</f>
        <v>0</v>
      </c>
      <c r="H69" s="103">
        <f>H70+H71</f>
        <v>0</v>
      </c>
      <c r="I69" s="103">
        <f>I70+I71</f>
        <v>0</v>
      </c>
      <c r="J69" s="103">
        <f>J70+J71</f>
        <v>0</v>
      </c>
      <c r="K69" s="338"/>
      <c r="L69" s="338"/>
      <c r="M69" s="339"/>
    </row>
    <row r="70" spans="1:13" s="4" customFormat="1" x14ac:dyDescent="0.2">
      <c r="A70" s="47">
        <v>59</v>
      </c>
      <c r="B70" s="59" t="s">
        <v>115</v>
      </c>
      <c r="C70" s="41" t="s">
        <v>116</v>
      </c>
      <c r="D70" s="42"/>
      <c r="E70" s="42"/>
      <c r="F70" s="91"/>
      <c r="G70" s="91"/>
      <c r="H70" s="91"/>
      <c r="I70" s="91"/>
      <c r="J70" s="91"/>
      <c r="K70" s="340"/>
      <c r="L70" s="340"/>
      <c r="M70" s="341"/>
    </row>
    <row r="71" spans="1:13" s="4" customFormat="1" x14ac:dyDescent="0.2">
      <c r="A71" s="47">
        <v>60</v>
      </c>
      <c r="B71" s="59" t="s">
        <v>117</v>
      </c>
      <c r="C71" s="41" t="s">
        <v>118</v>
      </c>
      <c r="D71" s="42"/>
      <c r="E71" s="42"/>
      <c r="F71" s="91"/>
      <c r="G71" s="91"/>
      <c r="H71" s="91"/>
      <c r="I71" s="91"/>
      <c r="J71" s="91"/>
      <c r="K71" s="340"/>
      <c r="L71" s="340"/>
      <c r="M71" s="341"/>
    </row>
    <row r="72" spans="1:13" s="4" customFormat="1" x14ac:dyDescent="0.2">
      <c r="A72" s="39">
        <v>61</v>
      </c>
      <c r="B72" s="55" t="s">
        <v>119</v>
      </c>
      <c r="C72" s="56" t="s">
        <v>120</v>
      </c>
      <c r="D72" s="53">
        <v>0</v>
      </c>
      <c r="E72" s="53">
        <v>0</v>
      </c>
      <c r="F72" s="103"/>
      <c r="G72" s="103"/>
      <c r="H72" s="103"/>
      <c r="I72" s="103"/>
      <c r="J72" s="103"/>
      <c r="K72" s="338"/>
      <c r="L72" s="338"/>
      <c r="M72" s="339"/>
    </row>
    <row r="73" spans="1:13" s="4" customFormat="1" x14ac:dyDescent="0.2">
      <c r="A73" s="47">
        <v>62</v>
      </c>
      <c r="B73" s="55" t="s">
        <v>121</v>
      </c>
      <c r="C73" s="56" t="s">
        <v>122</v>
      </c>
      <c r="D73" s="53">
        <v>0</v>
      </c>
      <c r="E73" s="53">
        <v>0</v>
      </c>
      <c r="F73" s="103"/>
      <c r="G73" s="103"/>
      <c r="H73" s="103"/>
      <c r="I73" s="103"/>
      <c r="J73" s="103"/>
      <c r="K73" s="338"/>
      <c r="L73" s="338"/>
      <c r="M73" s="339"/>
    </row>
    <row r="74" spans="1:13" s="4" customFormat="1" x14ac:dyDescent="0.2">
      <c r="A74" s="47">
        <v>63</v>
      </c>
      <c r="B74" s="55" t="s">
        <v>123</v>
      </c>
      <c r="C74" s="56" t="s">
        <v>124</v>
      </c>
      <c r="D74" s="53">
        <v>0</v>
      </c>
      <c r="E74" s="53">
        <v>0</v>
      </c>
      <c r="F74" s="103"/>
      <c r="G74" s="103"/>
      <c r="H74" s="103"/>
      <c r="I74" s="103"/>
      <c r="J74" s="103"/>
      <c r="K74" s="338"/>
      <c r="L74" s="338"/>
      <c r="M74" s="339"/>
    </row>
    <row r="75" spans="1:13" s="4" customFormat="1" x14ac:dyDescent="0.2">
      <c r="A75" s="39">
        <v>64</v>
      </c>
      <c r="B75" s="55" t="s">
        <v>125</v>
      </c>
      <c r="C75" s="56" t="s">
        <v>126</v>
      </c>
      <c r="D75" s="53">
        <v>0</v>
      </c>
      <c r="E75" s="53">
        <v>0</v>
      </c>
      <c r="F75" s="103"/>
      <c r="G75" s="103"/>
      <c r="H75" s="103"/>
      <c r="I75" s="103"/>
      <c r="J75" s="103"/>
      <c r="K75" s="338"/>
      <c r="L75" s="338"/>
      <c r="M75" s="339"/>
    </row>
    <row r="76" spans="1:13" s="4" customFormat="1" x14ac:dyDescent="0.2">
      <c r="A76" s="47">
        <v>65</v>
      </c>
      <c r="B76" s="55" t="s">
        <v>127</v>
      </c>
      <c r="C76" s="56" t="s">
        <v>128</v>
      </c>
      <c r="D76" s="53">
        <v>0</v>
      </c>
      <c r="E76" s="53">
        <v>0</v>
      </c>
      <c r="F76" s="43">
        <f>F78</f>
        <v>0</v>
      </c>
      <c r="G76" s="43">
        <f>G78</f>
        <v>0</v>
      </c>
      <c r="H76" s="43">
        <f>H78</f>
        <v>0</v>
      </c>
      <c r="I76" s="43">
        <f>I78</f>
        <v>0</v>
      </c>
      <c r="J76" s="43">
        <f>J78</f>
        <v>0</v>
      </c>
      <c r="K76" s="338"/>
      <c r="L76" s="338"/>
      <c r="M76" s="339"/>
    </row>
    <row r="77" spans="1:13" s="4" customFormat="1" x14ac:dyDescent="0.2">
      <c r="A77" s="47">
        <v>66</v>
      </c>
      <c r="B77" s="59" t="s">
        <v>129</v>
      </c>
      <c r="C77" s="41" t="s">
        <v>130</v>
      </c>
      <c r="D77" s="53">
        <v>0</v>
      </c>
      <c r="E77" s="53">
        <v>0</v>
      </c>
      <c r="F77" s="103"/>
      <c r="G77" s="103"/>
      <c r="H77" s="103"/>
      <c r="I77" s="103"/>
      <c r="J77" s="103"/>
      <c r="K77" s="338"/>
      <c r="L77" s="338"/>
      <c r="M77" s="339"/>
    </row>
    <row r="78" spans="1:13" s="4" customFormat="1" x14ac:dyDescent="0.2">
      <c r="A78" s="39">
        <v>67</v>
      </c>
      <c r="B78" s="59" t="s">
        <v>131</v>
      </c>
      <c r="C78" s="56" t="s">
        <v>132</v>
      </c>
      <c r="D78" s="53">
        <f>D79</f>
        <v>0</v>
      </c>
      <c r="E78" s="53">
        <f>E79</f>
        <v>0</v>
      </c>
      <c r="F78" s="44">
        <f>F79+F80+F81+F82</f>
        <v>0</v>
      </c>
      <c r="G78" s="44">
        <f>G79</f>
        <v>0</v>
      </c>
      <c r="H78" s="44">
        <f>H79</f>
        <v>0</v>
      </c>
      <c r="I78" s="44">
        <f>I79</f>
        <v>0</v>
      </c>
      <c r="J78" s="44">
        <f>J79</f>
        <v>0</v>
      </c>
      <c r="K78" s="340"/>
      <c r="L78" s="340"/>
      <c r="M78" s="341"/>
    </row>
    <row r="79" spans="1:13" s="4" customFormat="1" x14ac:dyDescent="0.2">
      <c r="A79" s="47">
        <v>68</v>
      </c>
      <c r="B79" s="106" t="s">
        <v>265</v>
      </c>
      <c r="C79" s="81"/>
      <c r="D79" s="82"/>
      <c r="E79" s="82">
        <v>0</v>
      </c>
      <c r="F79" s="83">
        <f>G79+H79+I79+J79</f>
        <v>0</v>
      </c>
      <c r="G79" s="83">
        <v>0</v>
      </c>
      <c r="H79" s="83">
        <v>0</v>
      </c>
      <c r="I79" s="83">
        <v>0</v>
      </c>
      <c r="J79" s="83">
        <v>0</v>
      </c>
      <c r="K79" s="342"/>
      <c r="L79" s="342"/>
      <c r="M79" s="343"/>
    </row>
    <row r="80" spans="1:13" s="4" customFormat="1" x14ac:dyDescent="0.2">
      <c r="A80" s="47">
        <v>69</v>
      </c>
      <c r="B80" s="85" t="s">
        <v>244</v>
      </c>
      <c r="C80" s="86"/>
      <c r="D80" s="87"/>
      <c r="E80" s="87"/>
      <c r="F80" s="88"/>
      <c r="G80" s="88"/>
      <c r="H80" s="88"/>
      <c r="I80" s="88"/>
      <c r="J80" s="88"/>
      <c r="K80" s="89"/>
      <c r="L80" s="344"/>
      <c r="M80" s="269"/>
    </row>
    <row r="81" spans="1:13" s="4" customFormat="1" x14ac:dyDescent="0.2">
      <c r="A81" s="39">
        <v>70</v>
      </c>
      <c r="B81" s="90" t="s">
        <v>238</v>
      </c>
      <c r="C81" s="41"/>
      <c r="D81" s="117"/>
      <c r="E81" s="117"/>
      <c r="F81" s="91"/>
      <c r="G81" s="91"/>
      <c r="H81" s="91"/>
      <c r="I81" s="91"/>
      <c r="J81" s="91"/>
      <c r="K81" s="250"/>
      <c r="L81" s="345"/>
      <c r="M81" s="251"/>
    </row>
    <row r="82" spans="1:13" s="4" customFormat="1" x14ac:dyDescent="0.2">
      <c r="A82" s="47">
        <v>71</v>
      </c>
      <c r="B82" s="90" t="s">
        <v>134</v>
      </c>
      <c r="C82" s="41"/>
      <c r="D82" s="117"/>
      <c r="E82" s="117"/>
      <c r="F82" s="91"/>
      <c r="G82" s="91"/>
      <c r="H82" s="91"/>
      <c r="I82" s="91"/>
      <c r="J82" s="91"/>
      <c r="K82" s="250"/>
      <c r="L82" s="345"/>
      <c r="M82" s="251"/>
    </row>
    <row r="83" spans="1:13" s="4" customFormat="1" x14ac:dyDescent="0.2">
      <c r="A83" s="39">
        <v>72</v>
      </c>
      <c r="B83" s="59" t="s">
        <v>135</v>
      </c>
      <c r="C83" s="41"/>
      <c r="D83" s="117"/>
      <c r="E83" s="117"/>
      <c r="F83" s="91"/>
      <c r="G83" s="91"/>
      <c r="H83" s="91"/>
      <c r="I83" s="91"/>
      <c r="J83" s="91"/>
      <c r="K83" s="250"/>
      <c r="L83" s="91"/>
      <c r="M83" s="251"/>
    </row>
    <row r="84" spans="1:13" s="4" customFormat="1" x14ac:dyDescent="0.2">
      <c r="A84" s="47">
        <v>73</v>
      </c>
      <c r="B84" s="90" t="s">
        <v>239</v>
      </c>
      <c r="C84" s="41"/>
      <c r="D84" s="117"/>
      <c r="E84" s="117"/>
      <c r="F84" s="91"/>
      <c r="G84" s="91"/>
      <c r="H84" s="91"/>
      <c r="I84" s="91"/>
      <c r="J84" s="91"/>
      <c r="K84" s="250"/>
      <c r="L84" s="91"/>
      <c r="M84" s="251"/>
    </row>
    <row r="85" spans="1:13" s="4" customFormat="1" x14ac:dyDescent="0.2">
      <c r="A85" s="47">
        <v>74</v>
      </c>
      <c r="B85" s="90" t="s">
        <v>136</v>
      </c>
      <c r="C85" s="41"/>
      <c r="D85" s="117"/>
      <c r="E85" s="117"/>
      <c r="F85" s="91"/>
      <c r="G85" s="91"/>
      <c r="H85" s="91"/>
      <c r="I85" s="91"/>
      <c r="J85" s="91"/>
      <c r="K85" s="250"/>
      <c r="L85" s="91"/>
      <c r="M85" s="251"/>
    </row>
    <row r="86" spans="1:13" s="4" customFormat="1" x14ac:dyDescent="0.2">
      <c r="A86" s="39">
        <v>75</v>
      </c>
      <c r="B86" s="90" t="s">
        <v>137</v>
      </c>
      <c r="C86" s="41"/>
      <c r="D86" s="117"/>
      <c r="E86" s="117"/>
      <c r="F86" s="91"/>
      <c r="G86" s="91"/>
      <c r="H86" s="91"/>
      <c r="I86" s="91"/>
      <c r="J86" s="91"/>
      <c r="K86" s="250"/>
      <c r="L86" s="91"/>
      <c r="M86" s="251"/>
    </row>
    <row r="87" spans="1:13" s="4" customFormat="1" x14ac:dyDescent="0.2">
      <c r="A87" s="47">
        <v>76</v>
      </c>
      <c r="B87" s="90" t="s">
        <v>138</v>
      </c>
      <c r="C87" s="41"/>
      <c r="D87" s="117"/>
      <c r="E87" s="117"/>
      <c r="F87" s="91"/>
      <c r="G87" s="91"/>
      <c r="H87" s="91"/>
      <c r="I87" s="91"/>
      <c r="J87" s="91"/>
      <c r="K87" s="250"/>
      <c r="L87" s="91"/>
      <c r="M87" s="251"/>
    </row>
    <row r="88" spans="1:13" s="4" customFormat="1" ht="13.35" customHeight="1" x14ac:dyDescent="0.2">
      <c r="A88" s="39">
        <v>77</v>
      </c>
      <c r="B88" s="100" t="s">
        <v>140</v>
      </c>
      <c r="C88" s="56" t="s">
        <v>141</v>
      </c>
      <c r="D88" s="114"/>
      <c r="E88" s="114"/>
      <c r="F88" s="103"/>
      <c r="G88" s="103"/>
      <c r="H88" s="103"/>
      <c r="I88" s="103"/>
      <c r="J88" s="103"/>
      <c r="K88" s="104"/>
      <c r="L88" s="103"/>
      <c r="M88" s="105"/>
    </row>
    <row r="89" spans="1:13" s="4" customFormat="1" ht="38.25" customHeight="1" x14ac:dyDescent="0.2">
      <c r="A89" s="47">
        <v>78</v>
      </c>
      <c r="B89" s="100" t="s">
        <v>142</v>
      </c>
      <c r="C89" s="101" t="s">
        <v>143</v>
      </c>
      <c r="D89" s="102"/>
      <c r="E89" s="102"/>
      <c r="F89" s="103"/>
      <c r="G89" s="103"/>
      <c r="H89" s="103"/>
      <c r="I89" s="103"/>
      <c r="J89" s="103"/>
      <c r="K89" s="104"/>
      <c r="L89" s="103"/>
      <c r="M89" s="105"/>
    </row>
    <row r="90" spans="1:13" s="4" customFormat="1" x14ac:dyDescent="0.2">
      <c r="A90" s="39">
        <v>79</v>
      </c>
      <c r="B90" s="106" t="s">
        <v>144</v>
      </c>
      <c r="C90" s="81" t="s">
        <v>145</v>
      </c>
      <c r="D90" s="107"/>
      <c r="E90" s="107"/>
      <c r="F90" s="108"/>
      <c r="G90" s="108"/>
      <c r="H90" s="108"/>
      <c r="I90" s="108"/>
      <c r="J90" s="108"/>
      <c r="K90" s="109"/>
      <c r="L90" s="108"/>
      <c r="M90" s="110"/>
    </row>
    <row r="91" spans="1:13" s="4" customFormat="1" x14ac:dyDescent="0.2">
      <c r="A91" s="47">
        <v>80</v>
      </c>
      <c r="B91" s="35" t="s">
        <v>146</v>
      </c>
      <c r="C91" s="69" t="s">
        <v>147</v>
      </c>
      <c r="D91" s="96"/>
      <c r="E91" s="96"/>
      <c r="F91" s="111"/>
      <c r="G91" s="111"/>
      <c r="H91" s="111"/>
      <c r="I91" s="111"/>
      <c r="J91" s="111"/>
      <c r="K91" s="112"/>
      <c r="L91" s="111"/>
      <c r="M91" s="113"/>
    </row>
    <row r="92" spans="1:13" s="4" customFormat="1" x14ac:dyDescent="0.2">
      <c r="A92" s="39">
        <v>81</v>
      </c>
      <c r="B92" s="55" t="s">
        <v>148</v>
      </c>
      <c r="C92" s="56" t="s">
        <v>149</v>
      </c>
      <c r="D92" s="114" t="s">
        <v>139</v>
      </c>
      <c r="E92" s="114" t="s">
        <v>139</v>
      </c>
      <c r="F92" s="103">
        <f>F93</f>
        <v>0</v>
      </c>
      <c r="G92" s="103">
        <f>G93</f>
        <v>0</v>
      </c>
      <c r="H92" s="103">
        <f>H93</f>
        <v>0</v>
      </c>
      <c r="I92" s="103">
        <f>I93</f>
        <v>0</v>
      </c>
      <c r="J92" s="103">
        <f>J93</f>
        <v>0</v>
      </c>
      <c r="K92" s="104"/>
      <c r="L92" s="103"/>
      <c r="M92" s="105"/>
    </row>
    <row r="93" spans="1:13" s="4" customFormat="1" x14ac:dyDescent="0.2">
      <c r="A93" s="47">
        <v>82</v>
      </c>
      <c r="B93" s="115" t="s">
        <v>150</v>
      </c>
      <c r="C93" s="56" t="s">
        <v>151</v>
      </c>
      <c r="D93" s="114" t="s">
        <v>139</v>
      </c>
      <c r="E93" s="114" t="s">
        <v>139</v>
      </c>
      <c r="F93" s="103">
        <f>F94+F107</f>
        <v>0</v>
      </c>
      <c r="G93" s="103">
        <f>G94+G107</f>
        <v>0</v>
      </c>
      <c r="H93" s="103">
        <f>H94+H107</f>
        <v>0</v>
      </c>
      <c r="I93" s="103">
        <f>I94+I107</f>
        <v>0</v>
      </c>
      <c r="J93" s="103">
        <f>J94+J107</f>
        <v>0</v>
      </c>
      <c r="K93" s="104"/>
      <c r="L93" s="103"/>
      <c r="M93" s="105"/>
    </row>
    <row r="94" spans="1:13" s="4" customFormat="1" x14ac:dyDescent="0.2">
      <c r="A94" s="39">
        <v>83</v>
      </c>
      <c r="B94" s="115" t="s">
        <v>152</v>
      </c>
      <c r="C94" s="56" t="s">
        <v>153</v>
      </c>
      <c r="D94" s="114" t="s">
        <v>139</v>
      </c>
      <c r="E94" s="114" t="s">
        <v>139</v>
      </c>
      <c r="F94" s="103">
        <f>F95+F96+F97+F98+F100+F101</f>
        <v>0</v>
      </c>
      <c r="G94" s="103">
        <f>G95+G96+G97+G98+G100+G101</f>
        <v>0</v>
      </c>
      <c r="H94" s="103">
        <f>H95+H96+H97+H98+H100+H101</f>
        <v>0</v>
      </c>
      <c r="I94" s="103">
        <f>I95+I96+I97+I98+I100+I101</f>
        <v>0</v>
      </c>
      <c r="J94" s="103">
        <f>J95+J96+J97+J98+J100+J101</f>
        <v>0</v>
      </c>
      <c r="K94" s="104"/>
      <c r="L94" s="103"/>
      <c r="M94" s="105"/>
    </row>
    <row r="95" spans="1:13" s="4" customFormat="1" x14ac:dyDescent="0.2">
      <c r="A95" s="47">
        <v>84</v>
      </c>
      <c r="B95" s="116" t="s">
        <v>154</v>
      </c>
      <c r="C95" s="41"/>
      <c r="D95" s="117"/>
      <c r="E95" s="117"/>
      <c r="F95" s="103"/>
      <c r="G95" s="103"/>
      <c r="H95" s="103"/>
      <c r="I95" s="103"/>
      <c r="J95" s="103"/>
      <c r="K95" s="118"/>
      <c r="L95" s="103"/>
      <c r="M95" s="105"/>
    </row>
    <row r="96" spans="1:13" s="4" customFormat="1" x14ac:dyDescent="0.2">
      <c r="A96" s="39">
        <v>85</v>
      </c>
      <c r="B96" s="116" t="s">
        <v>155</v>
      </c>
      <c r="C96" s="41"/>
      <c r="D96" s="117"/>
      <c r="E96" s="117"/>
      <c r="F96" s="103"/>
      <c r="G96" s="103"/>
      <c r="H96" s="103"/>
      <c r="I96" s="103"/>
      <c r="J96" s="103"/>
      <c r="K96" s="118"/>
      <c r="L96" s="103"/>
      <c r="M96" s="105"/>
    </row>
    <row r="97" spans="1:13" s="4" customFormat="1" x14ac:dyDescent="0.2">
      <c r="A97" s="47">
        <v>86</v>
      </c>
      <c r="B97" s="116" t="s">
        <v>156</v>
      </c>
      <c r="C97" s="41"/>
      <c r="D97" s="117"/>
      <c r="E97" s="117"/>
      <c r="F97" s="103"/>
      <c r="G97" s="103"/>
      <c r="H97" s="103"/>
      <c r="I97" s="103"/>
      <c r="J97" s="103"/>
      <c r="K97" s="118"/>
      <c r="L97" s="103"/>
      <c r="M97" s="105"/>
    </row>
    <row r="98" spans="1:13" s="4" customFormat="1" x14ac:dyDescent="0.2">
      <c r="A98" s="39">
        <v>87</v>
      </c>
      <c r="B98" s="119" t="s">
        <v>157</v>
      </c>
      <c r="C98" s="41"/>
      <c r="D98" s="117"/>
      <c r="E98" s="117"/>
      <c r="F98" s="103"/>
      <c r="G98" s="103"/>
      <c r="H98" s="103"/>
      <c r="I98" s="103"/>
      <c r="J98" s="103"/>
      <c r="K98" s="118"/>
      <c r="L98" s="103"/>
      <c r="M98" s="105"/>
    </row>
    <row r="99" spans="1:13" s="4" customFormat="1" x14ac:dyDescent="0.2">
      <c r="A99" s="47">
        <v>88</v>
      </c>
      <c r="B99" s="120" t="s">
        <v>158</v>
      </c>
      <c r="C99" s="41"/>
      <c r="D99" s="117"/>
      <c r="E99" s="117"/>
      <c r="F99" s="103"/>
      <c r="G99" s="103"/>
      <c r="H99" s="103"/>
      <c r="I99" s="103"/>
      <c r="J99" s="103"/>
      <c r="K99" s="118"/>
      <c r="L99" s="103"/>
      <c r="M99" s="105"/>
    </row>
    <row r="100" spans="1:13" s="4" customFormat="1" x14ac:dyDescent="0.2">
      <c r="A100" s="39">
        <v>89</v>
      </c>
      <c r="B100" s="121" t="s">
        <v>159</v>
      </c>
      <c r="C100" s="41"/>
      <c r="D100" s="117"/>
      <c r="E100" s="117"/>
      <c r="F100" s="103"/>
      <c r="G100" s="103"/>
      <c r="H100" s="103"/>
      <c r="I100" s="103"/>
      <c r="J100" s="103"/>
      <c r="K100" s="118"/>
      <c r="L100" s="103"/>
      <c r="M100" s="105"/>
    </row>
    <row r="101" spans="1:13" s="4" customFormat="1" x14ac:dyDescent="0.2">
      <c r="A101" s="47">
        <v>90</v>
      </c>
      <c r="B101" s="122" t="s">
        <v>160</v>
      </c>
      <c r="C101" s="41"/>
      <c r="D101" s="117"/>
      <c r="E101" s="117"/>
      <c r="F101" s="103"/>
      <c r="G101" s="103"/>
      <c r="H101" s="103"/>
      <c r="I101" s="103"/>
      <c r="J101" s="103"/>
      <c r="K101" s="118"/>
      <c r="L101" s="103"/>
      <c r="M101" s="105"/>
    </row>
    <row r="102" spans="1:13" s="4" customFormat="1" x14ac:dyDescent="0.2">
      <c r="A102" s="39">
        <v>91</v>
      </c>
      <c r="B102" s="122" t="s">
        <v>161</v>
      </c>
      <c r="C102" s="41"/>
      <c r="D102" s="117"/>
      <c r="E102" s="117"/>
      <c r="F102" s="103"/>
      <c r="G102" s="103"/>
      <c r="H102" s="103"/>
      <c r="I102" s="103"/>
      <c r="J102" s="103"/>
      <c r="K102" s="104"/>
      <c r="L102" s="103"/>
      <c r="M102" s="105"/>
    </row>
    <row r="103" spans="1:13" s="4" customFormat="1" x14ac:dyDescent="0.2">
      <c r="A103" s="47">
        <v>92</v>
      </c>
      <c r="B103" s="4" t="s">
        <v>162</v>
      </c>
      <c r="C103" s="41"/>
      <c r="D103" s="117"/>
      <c r="E103" s="117"/>
      <c r="F103" s="103"/>
      <c r="G103" s="103"/>
      <c r="H103" s="103"/>
      <c r="I103" s="103"/>
      <c r="J103" s="103"/>
      <c r="K103" s="104"/>
      <c r="L103" s="103"/>
      <c r="M103" s="105"/>
    </row>
    <row r="104" spans="1:13" s="4" customFormat="1" x14ac:dyDescent="0.2">
      <c r="A104" s="39">
        <v>93</v>
      </c>
      <c r="B104" s="122" t="s">
        <v>163</v>
      </c>
      <c r="C104" s="41"/>
      <c r="D104" s="117"/>
      <c r="E104" s="117"/>
      <c r="F104" s="103"/>
      <c r="G104" s="103"/>
      <c r="H104" s="103"/>
      <c r="I104" s="103"/>
      <c r="J104" s="103"/>
      <c r="K104" s="104"/>
      <c r="L104" s="103"/>
      <c r="M104" s="105"/>
    </row>
    <row r="105" spans="1:13" s="4" customFormat="1" x14ac:dyDescent="0.2">
      <c r="A105" s="47">
        <v>94</v>
      </c>
      <c r="B105" s="122" t="s">
        <v>164</v>
      </c>
      <c r="C105" s="41"/>
      <c r="D105" s="117"/>
      <c r="E105" s="117"/>
      <c r="F105" s="103"/>
      <c r="G105" s="103"/>
      <c r="H105" s="103"/>
      <c r="I105" s="103"/>
      <c r="J105" s="103"/>
      <c r="K105" s="104"/>
      <c r="L105" s="103"/>
      <c r="M105" s="105"/>
    </row>
    <row r="106" spans="1:13" s="4" customFormat="1" x14ac:dyDescent="0.2">
      <c r="A106" s="39">
        <v>95</v>
      </c>
      <c r="B106" s="122"/>
      <c r="C106" s="41"/>
      <c r="D106" s="117"/>
      <c r="E106" s="117"/>
      <c r="F106" s="103"/>
      <c r="G106" s="103"/>
      <c r="H106" s="103"/>
      <c r="I106" s="103"/>
      <c r="J106" s="103"/>
      <c r="K106" s="104"/>
      <c r="L106" s="103"/>
      <c r="M106" s="105"/>
    </row>
    <row r="107" spans="1:13" s="4" customFormat="1" x14ac:dyDescent="0.2">
      <c r="A107" s="47">
        <v>96</v>
      </c>
      <c r="B107" s="123" t="s">
        <v>165</v>
      </c>
      <c r="C107" s="56" t="s">
        <v>166</v>
      </c>
      <c r="D107" s="114" t="s">
        <v>139</v>
      </c>
      <c r="E107" s="114" t="s">
        <v>139</v>
      </c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3" s="4" customFormat="1" x14ac:dyDescent="0.2">
      <c r="A108" s="39">
        <v>97</v>
      </c>
      <c r="B108" s="124" t="s">
        <v>167</v>
      </c>
      <c r="C108" s="41"/>
      <c r="D108" s="117"/>
      <c r="E108" s="117"/>
      <c r="F108" s="103"/>
      <c r="G108" s="103"/>
      <c r="H108" s="103"/>
      <c r="I108" s="103"/>
      <c r="J108" s="103"/>
      <c r="K108" s="118"/>
      <c r="L108" s="103"/>
      <c r="M108" s="105"/>
    </row>
    <row r="109" spans="1:13" s="4" customFormat="1" x14ac:dyDescent="0.2">
      <c r="A109" s="47">
        <v>98</v>
      </c>
      <c r="B109" s="125" t="s">
        <v>168</v>
      </c>
      <c r="C109" s="41"/>
      <c r="D109" s="117"/>
      <c r="E109" s="117"/>
      <c r="F109" s="103"/>
      <c r="G109" s="103"/>
      <c r="H109" s="103"/>
      <c r="I109" s="103"/>
      <c r="J109" s="103"/>
      <c r="K109" s="118"/>
      <c r="L109" s="103"/>
      <c r="M109" s="105"/>
    </row>
    <row r="110" spans="1:13" s="4" customFormat="1" x14ac:dyDescent="0.2">
      <c r="A110" s="39">
        <v>99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103"/>
      <c r="M110" s="105"/>
    </row>
    <row r="111" spans="1:13" s="4" customFormat="1" x14ac:dyDescent="0.2">
      <c r="A111" s="47">
        <v>100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103"/>
      <c r="M111" s="105"/>
    </row>
    <row r="112" spans="1:13" s="4" customFormat="1" ht="25.5" x14ac:dyDescent="0.2">
      <c r="A112" s="39">
        <v>101</v>
      </c>
      <c r="B112" s="126" t="s">
        <v>171</v>
      </c>
      <c r="C112" s="101" t="s">
        <v>172</v>
      </c>
      <c r="D112" s="102" t="s">
        <v>139</v>
      </c>
      <c r="E112" s="102" t="s">
        <v>139</v>
      </c>
      <c r="F112" s="103">
        <f>F113+F116</f>
        <v>0</v>
      </c>
      <c r="G112" s="103">
        <f>G113+G116</f>
        <v>0</v>
      </c>
      <c r="H112" s="103">
        <f>H113+H116</f>
        <v>0</v>
      </c>
      <c r="I112" s="103">
        <f>I113+I116</f>
        <v>0</v>
      </c>
      <c r="J112" s="103">
        <f>J113+J116</f>
        <v>0</v>
      </c>
      <c r="K112" s="104"/>
      <c r="L112" s="103"/>
      <c r="M112" s="105"/>
    </row>
    <row r="113" spans="1:13" s="4" customFormat="1" x14ac:dyDescent="0.2">
      <c r="A113" s="47">
        <v>102</v>
      </c>
      <c r="B113" s="4" t="s">
        <v>127</v>
      </c>
      <c r="C113" s="56" t="s">
        <v>173</v>
      </c>
      <c r="D113" s="114" t="s">
        <v>139</v>
      </c>
      <c r="E113" s="114" t="s">
        <v>139</v>
      </c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x14ac:dyDescent="0.2">
      <c r="A114" s="39">
        <v>103</v>
      </c>
      <c r="B114" s="73" t="s">
        <v>174</v>
      </c>
      <c r="C114" s="56"/>
      <c r="D114" s="114" t="s">
        <v>139</v>
      </c>
      <c r="E114" s="114"/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x14ac:dyDescent="0.2">
      <c r="A115" s="47">
        <v>104</v>
      </c>
      <c r="B115" s="73" t="s">
        <v>175</v>
      </c>
      <c r="C115" s="56"/>
      <c r="D115" s="114" t="s">
        <v>139</v>
      </c>
      <c r="E115" s="114"/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x14ac:dyDescent="0.2">
      <c r="A116" s="39">
        <v>105</v>
      </c>
      <c r="B116" s="73" t="s">
        <v>176</v>
      </c>
      <c r="C116" s="56" t="s">
        <v>177</v>
      </c>
      <c r="D116" s="114" t="s">
        <v>139</v>
      </c>
      <c r="E116" s="114" t="s">
        <v>139</v>
      </c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x14ac:dyDescent="0.2">
      <c r="A117" s="47">
        <v>106</v>
      </c>
      <c r="B117" s="169" t="s">
        <v>178</v>
      </c>
      <c r="C117" s="101" t="s">
        <v>179</v>
      </c>
      <c r="D117" s="114" t="s">
        <v>139</v>
      </c>
      <c r="E117" s="114" t="s">
        <v>139</v>
      </c>
      <c r="F117" s="103"/>
      <c r="G117" s="103"/>
      <c r="H117" s="103"/>
      <c r="I117" s="103"/>
      <c r="J117" s="103"/>
      <c r="K117" s="104"/>
      <c r="L117" s="103"/>
      <c r="M117" s="105"/>
    </row>
    <row r="118" spans="1:13" s="135" customFormat="1" x14ac:dyDescent="0.2">
      <c r="A118" s="39">
        <v>107</v>
      </c>
      <c r="B118" s="179" t="s">
        <v>180</v>
      </c>
      <c r="C118" s="180"/>
      <c r="D118" s="181" t="e">
        <f ca="1">'68.04-PERS.VARSTNICE'!D117+'68.02.05.02- AP+IND+RAT'!D118+'68.06 centralizat'!D118+'68.12 CENTRALIZATOR'!D118+'68.15.01-AJ SOC'!D118+'68.15.02-CANTINA'!D118+'68.50.50 rest DAS+CPFA'!D118</f>
        <v>#VALUE!</v>
      </c>
      <c r="E118" s="181">
        <v>0</v>
      </c>
      <c r="F118" s="103">
        <f>F132</f>
        <v>0</v>
      </c>
      <c r="G118" s="103">
        <f>G132</f>
        <v>0</v>
      </c>
      <c r="H118" s="103">
        <f>H132</f>
        <v>0</v>
      </c>
      <c r="I118" s="103">
        <f>I132</f>
        <v>0</v>
      </c>
      <c r="J118" s="103">
        <f>J132</f>
        <v>0</v>
      </c>
      <c r="K118" s="104"/>
      <c r="L118" s="103"/>
      <c r="M118" s="105"/>
    </row>
    <row r="119" spans="1:13" s="4" customFormat="1" ht="25.5" x14ac:dyDescent="0.2">
      <c r="A119" s="47">
        <v>108</v>
      </c>
      <c r="B119" s="126" t="s">
        <v>181</v>
      </c>
      <c r="C119" s="136" t="s">
        <v>182</v>
      </c>
      <c r="D119" s="137" t="s">
        <v>139</v>
      </c>
      <c r="E119" s="137" t="s">
        <v>139</v>
      </c>
      <c r="F119" s="103"/>
      <c r="G119" s="103"/>
      <c r="H119" s="103"/>
      <c r="I119" s="103"/>
      <c r="J119" s="103"/>
      <c r="K119" s="118"/>
      <c r="L119" s="103"/>
      <c r="M119" s="105"/>
    </row>
    <row r="120" spans="1:13" s="4" customFormat="1" x14ac:dyDescent="0.2">
      <c r="A120" s="39">
        <v>109</v>
      </c>
      <c r="B120" s="55" t="s">
        <v>183</v>
      </c>
      <c r="C120" s="56" t="s">
        <v>184</v>
      </c>
      <c r="D120" s="114" t="s">
        <v>139</v>
      </c>
      <c r="E120" s="114" t="s">
        <v>139</v>
      </c>
      <c r="F120" s="103"/>
      <c r="G120" s="103"/>
      <c r="H120" s="103"/>
      <c r="I120" s="103"/>
      <c r="J120" s="103"/>
      <c r="K120" s="118"/>
      <c r="L120" s="103"/>
      <c r="M120" s="105"/>
    </row>
    <row r="121" spans="1:13" s="139" customFormat="1" x14ac:dyDescent="0.2">
      <c r="A121" s="47">
        <v>110</v>
      </c>
      <c r="B121" s="138" t="s">
        <v>185</v>
      </c>
      <c r="C121" s="41" t="s">
        <v>186</v>
      </c>
      <c r="D121" s="117" t="s">
        <v>139</v>
      </c>
      <c r="E121" s="117" t="s">
        <v>139</v>
      </c>
      <c r="F121" s="103"/>
      <c r="G121" s="103"/>
      <c r="H121" s="103"/>
      <c r="I121" s="103"/>
      <c r="J121" s="103"/>
      <c r="K121" s="118"/>
      <c r="L121" s="103"/>
      <c r="M121" s="105"/>
    </row>
    <row r="122" spans="1:13" s="139" customFormat="1" x14ac:dyDescent="0.2">
      <c r="A122" s="39">
        <v>111</v>
      </c>
      <c r="B122" s="138" t="s">
        <v>187</v>
      </c>
      <c r="C122" s="56" t="s">
        <v>188</v>
      </c>
      <c r="D122" s="117" t="s">
        <v>139</v>
      </c>
      <c r="E122" s="117" t="s">
        <v>139</v>
      </c>
      <c r="F122" s="103"/>
      <c r="G122" s="103"/>
      <c r="H122" s="103"/>
      <c r="I122" s="103"/>
      <c r="J122" s="103"/>
      <c r="K122" s="104"/>
      <c r="L122" s="103"/>
      <c r="M122" s="105"/>
    </row>
    <row r="123" spans="1:13" s="139" customFormat="1" x14ac:dyDescent="0.2">
      <c r="A123" s="47">
        <v>112</v>
      </c>
      <c r="B123" s="138" t="s">
        <v>189</v>
      </c>
      <c r="C123" s="56" t="s">
        <v>190</v>
      </c>
      <c r="D123" s="117" t="s">
        <v>139</v>
      </c>
      <c r="E123" s="117" t="s">
        <v>139</v>
      </c>
      <c r="F123" s="103"/>
      <c r="G123" s="103"/>
      <c r="H123" s="103"/>
      <c r="I123" s="103"/>
      <c r="J123" s="103"/>
      <c r="K123" s="104"/>
      <c r="L123" s="103"/>
      <c r="M123" s="105"/>
    </row>
    <row r="124" spans="1:13" s="139" customFormat="1" x14ac:dyDescent="0.2">
      <c r="A124" s="39">
        <v>113</v>
      </c>
      <c r="B124" s="138" t="s">
        <v>191</v>
      </c>
      <c r="C124" s="41" t="s">
        <v>192</v>
      </c>
      <c r="D124" s="117" t="s">
        <v>139</v>
      </c>
      <c r="E124" s="117" t="s">
        <v>139</v>
      </c>
      <c r="F124" s="103"/>
      <c r="G124" s="103"/>
      <c r="H124" s="103"/>
      <c r="I124" s="103"/>
      <c r="J124" s="103"/>
      <c r="K124" s="104"/>
      <c r="L124" s="103"/>
      <c r="M124" s="105"/>
    </row>
    <row r="125" spans="1:13" s="139" customFormat="1" x14ac:dyDescent="0.2">
      <c r="A125" s="47">
        <v>114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103"/>
      <c r="M125" s="105"/>
    </row>
    <row r="126" spans="1:13" s="139" customFormat="1" x14ac:dyDescent="0.2">
      <c r="A126" s="39">
        <v>115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103"/>
      <c r="M126" s="105"/>
    </row>
    <row r="127" spans="1:13" s="139" customFormat="1" x14ac:dyDescent="0.2">
      <c r="A127" s="47">
        <v>116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103"/>
      <c r="M127" s="105"/>
    </row>
    <row r="128" spans="1:13" s="139" customFormat="1" x14ac:dyDescent="0.2">
      <c r="A128" s="47">
        <v>117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103"/>
      <c r="M128" s="105"/>
    </row>
    <row r="129" spans="1:13" s="139" customFormat="1" x14ac:dyDescent="0.2">
      <c r="A129" s="39">
        <v>118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103"/>
      <c r="M129" s="105"/>
    </row>
    <row r="130" spans="1:13" s="139" customFormat="1" x14ac:dyDescent="0.2">
      <c r="A130" s="47">
        <v>119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103"/>
      <c r="M130" s="105"/>
    </row>
    <row r="131" spans="1:13" s="139" customFormat="1" x14ac:dyDescent="0.2">
      <c r="A131" s="39">
        <v>120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103"/>
      <c r="M131" s="105"/>
    </row>
    <row r="132" spans="1:13" s="4" customFormat="1" x14ac:dyDescent="0.2">
      <c r="A132" s="47">
        <v>121</v>
      </c>
      <c r="B132" s="140" t="s">
        <v>206</v>
      </c>
      <c r="C132" s="56" t="s">
        <v>207</v>
      </c>
      <c r="D132" s="114" t="s">
        <v>139</v>
      </c>
      <c r="E132" s="114" t="s">
        <v>139</v>
      </c>
      <c r="F132" s="103">
        <f t="shared" ref="F132:J133" si="1">F133</f>
        <v>0</v>
      </c>
      <c r="G132" s="103">
        <f t="shared" si="1"/>
        <v>0</v>
      </c>
      <c r="H132" s="103">
        <f t="shared" si="1"/>
        <v>0</v>
      </c>
      <c r="I132" s="103">
        <f t="shared" si="1"/>
        <v>0</v>
      </c>
      <c r="J132" s="103">
        <f t="shared" si="1"/>
        <v>0</v>
      </c>
      <c r="K132" s="104"/>
      <c r="L132" s="103"/>
      <c r="M132" s="105"/>
    </row>
    <row r="133" spans="1:13" s="4" customFormat="1" x14ac:dyDescent="0.2">
      <c r="A133" s="39">
        <v>122</v>
      </c>
      <c r="B133" s="55" t="s">
        <v>208</v>
      </c>
      <c r="C133" s="75">
        <v>71</v>
      </c>
      <c r="D133" s="141">
        <v>0</v>
      </c>
      <c r="E133" s="141">
        <v>0</v>
      </c>
      <c r="F133" s="103">
        <f t="shared" si="1"/>
        <v>0</v>
      </c>
      <c r="G133" s="103">
        <f t="shared" si="1"/>
        <v>0</v>
      </c>
      <c r="H133" s="103">
        <f t="shared" si="1"/>
        <v>0</v>
      </c>
      <c r="I133" s="103">
        <f t="shared" si="1"/>
        <v>0</v>
      </c>
      <c r="J133" s="103">
        <f t="shared" si="1"/>
        <v>0</v>
      </c>
      <c r="K133" s="104"/>
      <c r="L133" s="103"/>
      <c r="M133" s="105"/>
    </row>
    <row r="134" spans="1:13" s="4" customFormat="1" x14ac:dyDescent="0.2">
      <c r="A134" s="47">
        <v>123</v>
      </c>
      <c r="B134" s="55" t="s">
        <v>209</v>
      </c>
      <c r="C134" s="75" t="s">
        <v>210</v>
      </c>
      <c r="D134" s="141">
        <v>0</v>
      </c>
      <c r="E134" s="141">
        <v>0</v>
      </c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3" s="4" customFormat="1" x14ac:dyDescent="0.2">
      <c r="A135" s="39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3" s="4" customFormat="1" x14ac:dyDescent="0.2">
      <c r="A136" s="47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3" s="4" customFormat="1" x14ac:dyDescent="0.2">
      <c r="A137" s="47">
        <v>126</v>
      </c>
      <c r="B137" s="74" t="s">
        <v>215</v>
      </c>
      <c r="C137" s="142" t="s">
        <v>214</v>
      </c>
      <c r="D137" s="346"/>
      <c r="E137" s="346"/>
      <c r="F137" s="347"/>
      <c r="G137" s="103"/>
      <c r="H137" s="103"/>
      <c r="I137" s="103"/>
      <c r="J137" s="103"/>
      <c r="K137" s="118"/>
      <c r="L137" s="103"/>
      <c r="M137" s="105"/>
    </row>
    <row r="138" spans="1:13" s="4" customFormat="1" x14ac:dyDescent="0.2">
      <c r="A138" s="39">
        <v>127</v>
      </c>
      <c r="B138" s="348" t="s">
        <v>216</v>
      </c>
      <c r="C138" s="349" t="s">
        <v>217</v>
      </c>
      <c r="D138" s="346"/>
      <c r="E138" s="346"/>
      <c r="F138" s="347"/>
      <c r="G138" s="103"/>
      <c r="H138" s="103"/>
      <c r="I138" s="103"/>
      <c r="J138" s="103"/>
      <c r="K138" s="118"/>
      <c r="L138" s="103"/>
      <c r="M138" s="105"/>
    </row>
    <row r="139" spans="1:13" s="4" customFormat="1" x14ac:dyDescent="0.2">
      <c r="A139" s="47">
        <v>128</v>
      </c>
      <c r="B139" s="350" t="s">
        <v>218</v>
      </c>
      <c r="C139" s="351" t="s">
        <v>219</v>
      </c>
      <c r="D139" s="352"/>
      <c r="E139" s="352"/>
      <c r="F139" s="353"/>
      <c r="G139" s="147"/>
      <c r="H139" s="147"/>
      <c r="I139" s="147"/>
      <c r="J139" s="147"/>
      <c r="K139" s="148"/>
      <c r="L139" s="147"/>
      <c r="M139" s="149"/>
    </row>
    <row r="140" spans="1:13" ht="12.75" customHeight="1" x14ac:dyDescent="0.2">
      <c r="B140" s="151" t="s">
        <v>220</v>
      </c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</row>
    <row r="141" spans="1:13" ht="12.75" customHeight="1" x14ac:dyDescent="0.2">
      <c r="B141" s="151" t="s">
        <v>221</v>
      </c>
      <c r="C141" s="153" t="s">
        <v>222</v>
      </c>
      <c r="D141" s="153"/>
      <c r="E141" s="153"/>
      <c r="F141" s="4"/>
      <c r="G141" s="152" t="s">
        <v>223</v>
      </c>
      <c r="H141" s="4"/>
      <c r="I141" s="154"/>
      <c r="J141" s="152" t="s">
        <v>224</v>
      </c>
      <c r="K141" s="4"/>
      <c r="L141" s="4"/>
      <c r="M141" s="4"/>
    </row>
    <row r="142" spans="1:13" ht="12.75" customHeight="1" x14ac:dyDescent="0.2">
      <c r="B142" s="155" t="s">
        <v>225</v>
      </c>
      <c r="C142" s="154" t="s">
        <v>226</v>
      </c>
      <c r="D142" s="154"/>
      <c r="E142" s="154"/>
      <c r="F142" s="154"/>
      <c r="G142" s="152" t="s">
        <v>227</v>
      </c>
      <c r="H142" s="4"/>
      <c r="I142" s="156"/>
      <c r="J142" s="1132" t="s">
        <v>228</v>
      </c>
      <c r="K142" s="1132"/>
      <c r="L142" s="1132"/>
      <c r="M142" s="1132"/>
    </row>
    <row r="143" spans="1:13" ht="12.75" customHeight="1" x14ac:dyDescent="0.2">
      <c r="J143" s="152" t="s">
        <v>229</v>
      </c>
      <c r="K143" s="4"/>
      <c r="L143" s="4"/>
      <c r="M143" s="4"/>
    </row>
    <row r="144" spans="1:13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</sheetData>
  <sheetProtection selectLockedCells="1" selectUnlockedCells="1"/>
  <mergeCells count="13">
    <mergeCell ref="D9:D10"/>
    <mergeCell ref="E9:E10"/>
    <mergeCell ref="F9:F10"/>
    <mergeCell ref="G9:J9"/>
    <mergeCell ref="K9:M9"/>
    <mergeCell ref="J142:M142"/>
    <mergeCell ref="B5:M5"/>
    <mergeCell ref="B6:M6"/>
    <mergeCell ref="B7:H7"/>
    <mergeCell ref="A8:B8"/>
    <mergeCell ref="A9:A10"/>
    <mergeCell ref="B9:B10"/>
    <mergeCell ref="C9:C10"/>
  </mergeCells>
  <printOptions horizontalCentered="1"/>
  <pageMargins left="0.11805555555555555" right="0.19652777777777777" top="0.39374999999999999" bottom="0.15763888888888888" header="0.51180555555555551" footer="0.51180555555555551"/>
  <pageSetup paperSize="9" firstPageNumber="0" orientation="landscape" horizontalDpi="300" verticalDpi="300"/>
  <headerFooter alignWithMargins="0"/>
  <colBreaks count="1" manualBreakCount="1">
    <brk id="16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1039-46F7-46C6-A2F9-ADC1E2EAF3A4}">
  <dimension ref="A1:Q144"/>
  <sheetViews>
    <sheetView topLeftCell="A109" workbookViewId="0">
      <selection activeCell="D118" sqref="D118"/>
    </sheetView>
  </sheetViews>
  <sheetFormatPr defaultRowHeight="12.75" customHeight="1" x14ac:dyDescent="0.2"/>
  <cols>
    <col min="1" max="1" width="4.5703125" style="1" customWidth="1"/>
    <col min="2" max="2" width="53.85546875" style="2" customWidth="1"/>
    <col min="3" max="3" width="9" style="1" customWidth="1"/>
    <col min="4" max="4" width="10.28515625" style="1" customWidth="1"/>
    <col min="5" max="5" width="9.42578125" style="1" hidden="1" customWidth="1"/>
    <col min="6" max="6" width="10.7109375" style="1" customWidth="1"/>
    <col min="7" max="7" width="8.42578125" style="1" customWidth="1"/>
    <col min="8" max="8" width="8.85546875" style="1" customWidth="1"/>
    <col min="9" max="9" width="10.5703125" style="1" customWidth="1"/>
    <col min="10" max="11" width="8.85546875" style="1" customWidth="1"/>
    <col min="12" max="13" width="8.2851562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ht="12.75" customHeight="1" x14ac:dyDescent="0.2">
      <c r="B6" s="1119" t="s">
        <v>266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ht="12.75" customHeight="1" x14ac:dyDescent="0.2">
      <c r="B7" s="8"/>
      <c r="C7" s="1167" t="s">
        <v>267</v>
      </c>
      <c r="D7" s="1167"/>
      <c r="E7" s="1167"/>
      <c r="F7" s="1167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379</v>
      </c>
      <c r="E9" s="1125"/>
      <c r="F9" s="1127" t="s">
        <v>380</v>
      </c>
      <c r="G9" s="1129" t="s">
        <v>12</v>
      </c>
      <c r="H9" s="1129"/>
      <c r="I9" s="1129"/>
      <c r="J9" s="1129"/>
      <c r="K9" s="1130" t="s">
        <v>13</v>
      </c>
      <c r="L9" s="1130"/>
      <c r="M9" s="1131"/>
    </row>
    <row r="10" spans="1:14" s="4" customFormat="1" ht="48" customHeight="1" thickBot="1" x14ac:dyDescent="0.25">
      <c r="A10" s="1135"/>
      <c r="B10" s="1137"/>
      <c r="C10" s="1124"/>
      <c r="D10" s="1126"/>
      <c r="E10" s="1126"/>
      <c r="F10" s="1128"/>
      <c r="G10" s="967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4" s="4" customFormat="1" ht="27" customHeight="1" thickBot="1" x14ac:dyDescent="0.25">
      <c r="A11" s="673" t="s">
        <v>18</v>
      </c>
      <c r="B11" s="354" t="s">
        <v>19</v>
      </c>
      <c r="C11" s="355"/>
      <c r="D11" s="356">
        <f>'68.50.50.01-rest dss'!D11+CPFA!D11</f>
        <v>7852.6</v>
      </c>
      <c r="E11" s="356">
        <f>'68.50.50.01-rest dss'!E11+CPFA!E11</f>
        <v>0</v>
      </c>
      <c r="F11" s="356">
        <f>'68.50.50.01-rest dss'!F11+CPFA!F11</f>
        <v>38513.909999999996</v>
      </c>
      <c r="G11" s="356">
        <f>'68.50.50.01-rest dss'!G11+CPFA!G11</f>
        <v>12130</v>
      </c>
      <c r="H11" s="356">
        <f>'68.50.50.01-rest dss'!H11+CPFA!H11</f>
        <v>8715.31</v>
      </c>
      <c r="I11" s="356">
        <f>'68.50.50.01-rest dss'!I11+CPFA!I11</f>
        <v>8810.6</v>
      </c>
      <c r="J11" s="356">
        <f>'68.50.50.01-rest dss'!J11+CPFA!J11</f>
        <v>8858</v>
      </c>
      <c r="K11" s="990">
        <f>'68.50.50.01-rest dss'!K11+CPFA!K11-0.43</f>
        <v>39396.001958000008</v>
      </c>
      <c r="L11" s="991">
        <f>'68.50.50.01-rest dss'!L11+CPFA!L11-1.73</f>
        <v>35661.99942</v>
      </c>
      <c r="M11" s="992">
        <f>'68.50.50.01-rest dss'!M11+CPFA!M11+1.03</f>
        <v>35746.003379999995</v>
      </c>
    </row>
    <row r="12" spans="1:14" s="4" customFormat="1" ht="22.5" customHeight="1" x14ac:dyDescent="0.2">
      <c r="A12" s="880">
        <v>2</v>
      </c>
      <c r="B12" s="358" t="s">
        <v>20</v>
      </c>
      <c r="C12" s="359"/>
      <c r="D12" s="360">
        <f>'68.50.50.01-rest dss'!D12+CPFA!D12</f>
        <v>0</v>
      </c>
      <c r="E12" s="361">
        <f>'68.50.50.01-rest dss'!E12+CPFA!E12</f>
        <v>0</v>
      </c>
      <c r="F12" s="362">
        <f>'68.50.50.01-rest dss'!F12+CPFA!F12</f>
        <v>34500.31</v>
      </c>
      <c r="G12" s="362">
        <f>'68.50.50.01-rest dss'!G12+CPFA!G12</f>
        <v>9100</v>
      </c>
      <c r="H12" s="362">
        <f>'68.50.50.01-rest dss'!H12+CPFA!H12</f>
        <v>8278.31</v>
      </c>
      <c r="I12" s="362">
        <f>'68.50.50.01-rest dss'!I12+CPFA!I12</f>
        <v>8264</v>
      </c>
      <c r="J12" s="362">
        <f>'68.50.50.01-rest dss'!J12+CPFA!J12</f>
        <v>8858</v>
      </c>
      <c r="K12" s="993">
        <f>K13</f>
        <v>35557.001958000008</v>
      </c>
      <c r="L12" s="994">
        <f>L13</f>
        <v>35661.99942</v>
      </c>
      <c r="M12" s="995">
        <f>M13</f>
        <v>35746.003380000002</v>
      </c>
    </row>
    <row r="13" spans="1:14" s="4" customFormat="1" ht="12.75" customHeight="1" x14ac:dyDescent="0.2">
      <c r="A13" s="689">
        <v>3</v>
      </c>
      <c r="B13" s="157" t="s">
        <v>21</v>
      </c>
      <c r="C13" s="75" t="s">
        <v>22</v>
      </c>
      <c r="D13" s="293">
        <f>'68.50.50.01-rest dss'!D13+CPFA!D13</f>
        <v>0</v>
      </c>
      <c r="E13" s="363">
        <f>'68.50.50.01-rest dss'!E13+CPFA!E13</f>
        <v>0</v>
      </c>
      <c r="F13" s="364">
        <f>'68.50.50.01-rest dss'!F13+CPFA!F13</f>
        <v>34500.31</v>
      </c>
      <c r="G13" s="364">
        <f>'68.50.50.01-rest dss'!G13+CPFA!G13</f>
        <v>9100</v>
      </c>
      <c r="H13" s="364">
        <f>'68.50.50.01-rest dss'!H13+CPFA!H13</f>
        <v>8278.31</v>
      </c>
      <c r="I13" s="364">
        <f>'68.50.50.01-rest dss'!I13+CPFA!I13</f>
        <v>8264</v>
      </c>
      <c r="J13" s="364">
        <f>'68.50.50.01-rest dss'!J13+CPFA!J13</f>
        <v>8858</v>
      </c>
      <c r="K13" s="979">
        <f>K14+K34+K92+K112+0.47</f>
        <v>35557.001958000008</v>
      </c>
      <c r="L13" s="364">
        <f>L14+L34+L92+L112-0.29</f>
        <v>35661.99942</v>
      </c>
      <c r="M13" s="980">
        <f>M14+M34+M92+M112+0.26</f>
        <v>35746.003380000002</v>
      </c>
    </row>
    <row r="14" spans="1:14" s="4" customFormat="1" ht="12.75" customHeight="1" x14ac:dyDescent="0.2">
      <c r="A14" s="689">
        <v>4</v>
      </c>
      <c r="B14" s="160" t="s">
        <v>23</v>
      </c>
      <c r="C14" s="161" t="s">
        <v>24</v>
      </c>
      <c r="D14" s="363">
        <f>'68.50.50.01-rest dss'!D14+CPFA!D14</f>
        <v>0</v>
      </c>
      <c r="E14" s="363">
        <f>'68.50.50.01-rest dss'!E14+CPFA!E14</f>
        <v>0</v>
      </c>
      <c r="F14" s="364">
        <f>'68.50.50.01-rest dss'!F14+CPFA!F14</f>
        <v>20511</v>
      </c>
      <c r="G14" s="364">
        <f>'68.50.50.01-rest dss'!G14+CPFA!G14</f>
        <v>5101</v>
      </c>
      <c r="H14" s="364">
        <f>'68.50.50.01-rest dss'!H14+CPFA!H14</f>
        <v>5497</v>
      </c>
      <c r="I14" s="364">
        <f>'68.50.50.01-rest dss'!I14+CPFA!I14</f>
        <v>5039</v>
      </c>
      <c r="J14" s="364">
        <f>'68.50.50.01-rest dss'!J14+CPFA!J14</f>
        <v>4874</v>
      </c>
      <c r="K14" s="57">
        <f>'68.50.50.01-rest dss'!K14+CPFA!K14</f>
        <v>21500.702100000002</v>
      </c>
      <c r="L14" s="57">
        <f>'68.50.50.01-rest dss'!L14+CPFA!L14</f>
        <v>21564.341100000001</v>
      </c>
      <c r="M14" s="881">
        <f>'68.50.50.01-rest dss'!M14+CPFA!M14+1</f>
        <v>21607.0039</v>
      </c>
    </row>
    <row r="15" spans="1:14" s="4" customFormat="1" ht="12.75" customHeight="1" x14ac:dyDescent="0.2">
      <c r="A15" s="689">
        <v>5</v>
      </c>
      <c r="B15" s="55" t="s">
        <v>25</v>
      </c>
      <c r="C15" s="161" t="s">
        <v>26</v>
      </c>
      <c r="D15" s="363">
        <f>'68.50.50.01-rest dss'!D15+CPFA!D15</f>
        <v>0</v>
      </c>
      <c r="E15" s="363">
        <f>'68.50.50.01-rest dss'!E15+CPFA!E15</f>
        <v>0</v>
      </c>
      <c r="F15" s="303">
        <f>'68.50.50.01-rest dss'!F15+CPFA!F15</f>
        <v>19915</v>
      </c>
      <c r="G15" s="303">
        <f>'68.50.50.01-rest dss'!G15+CPFA!G15</f>
        <v>4993</v>
      </c>
      <c r="H15" s="303">
        <f>'68.50.50.01-rest dss'!H15+CPFA!H15</f>
        <v>5248</v>
      </c>
      <c r="I15" s="303">
        <f>'68.50.50.01-rest dss'!I15+CPFA!I15</f>
        <v>4918</v>
      </c>
      <c r="J15" s="303">
        <f>'68.50.50.01-rest dss'!J15+CPFA!J15</f>
        <v>4756</v>
      </c>
      <c r="K15" s="57"/>
      <c r="L15" s="43"/>
      <c r="M15" s="771"/>
    </row>
    <row r="16" spans="1:14" s="4" customFormat="1" ht="12.75" customHeight="1" x14ac:dyDescent="0.2">
      <c r="A16" s="689">
        <v>6</v>
      </c>
      <c r="B16" s="40" t="s">
        <v>27</v>
      </c>
      <c r="C16" s="41" t="s">
        <v>28</v>
      </c>
      <c r="D16" s="622">
        <f>'68.50.50.01-rest dss'!D16+CPFA!D16</f>
        <v>0</v>
      </c>
      <c r="E16" s="943">
        <f>'68.50.50.01-rest dss'!E16+CPFA!E16</f>
        <v>0</v>
      </c>
      <c r="F16" s="365">
        <f>'68.50.50.01-rest dss'!F16+CPFA!F16</f>
        <v>17853</v>
      </c>
      <c r="G16" s="801">
        <f>'68.50.50.01-rest dss'!G16+CPFA!G16</f>
        <v>4307</v>
      </c>
      <c r="H16" s="801">
        <f>'68.50.50.01-rest dss'!H16+CPFA!H16</f>
        <v>4489</v>
      </c>
      <c r="I16" s="801">
        <f>'68.50.50.01-rest dss'!I16+CPFA!I16</f>
        <v>4525</v>
      </c>
      <c r="J16" s="801">
        <f>'68.50.50.01-rest dss'!J16+CPFA!J16</f>
        <v>4532</v>
      </c>
      <c r="K16" s="45"/>
      <c r="L16" s="44"/>
      <c r="M16" s="711"/>
    </row>
    <row r="17" spans="1:16" s="4" customFormat="1" ht="12.75" customHeight="1" x14ac:dyDescent="0.2">
      <c r="A17" s="689">
        <v>7</v>
      </c>
      <c r="B17" s="40" t="s">
        <v>29</v>
      </c>
      <c r="C17" s="41" t="s">
        <v>30</v>
      </c>
      <c r="D17" s="622">
        <f>'68.50.50.01-rest dss'!D17+CPFA!D17</f>
        <v>0</v>
      </c>
      <c r="E17" s="622">
        <f>'68.50.50.01-rest dss'!E17+CPFA!E17</f>
        <v>0</v>
      </c>
      <c r="F17" s="365">
        <f>'68.50.50.01-rest dss'!F17+CPFA!F17</f>
        <v>1336</v>
      </c>
      <c r="G17" s="801">
        <f>'68.50.50.01-rest dss'!G17+CPFA!G17</f>
        <v>510</v>
      </c>
      <c r="H17" s="801">
        <f>'68.50.50.01-rest dss'!H17+CPFA!H17</f>
        <v>578</v>
      </c>
      <c r="I17" s="801">
        <f>'68.50.50.01-rest dss'!I17+CPFA!I17</f>
        <v>210</v>
      </c>
      <c r="J17" s="801">
        <f>'68.50.50.01-rest dss'!J17+CPFA!J17</f>
        <v>38</v>
      </c>
      <c r="K17" s="45"/>
      <c r="L17" s="44"/>
      <c r="M17" s="711"/>
      <c r="P17" s="48"/>
    </row>
    <row r="18" spans="1:16" s="4" customFormat="1" x14ac:dyDescent="0.2">
      <c r="A18" s="689">
        <v>8</v>
      </c>
      <c r="B18" s="40" t="s">
        <v>31</v>
      </c>
      <c r="C18" s="41" t="s">
        <v>32</v>
      </c>
      <c r="D18" s="622">
        <f>'68.50.50.01-rest dss'!D18+CPFA!D18</f>
        <v>0</v>
      </c>
      <c r="E18" s="622">
        <f>'68.50.50.01-rest dss'!E18+CPFA!E18</f>
        <v>0</v>
      </c>
      <c r="F18" s="365">
        <f>'68.50.50.01-rest dss'!F18+CPFA!F18</f>
        <v>91</v>
      </c>
      <c r="G18" s="801">
        <f>'68.50.50.01-rest dss'!G18+CPFA!G18</f>
        <v>23</v>
      </c>
      <c r="H18" s="801">
        <f>'68.50.50.01-rest dss'!H18+CPFA!H18</f>
        <v>22</v>
      </c>
      <c r="I18" s="801">
        <f>'68.50.50.01-rest dss'!I18+CPFA!I18</f>
        <v>23</v>
      </c>
      <c r="J18" s="801">
        <f>'68.50.50.01-rest dss'!J18+CPFA!J18</f>
        <v>23</v>
      </c>
      <c r="K18" s="45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" t="s">
        <v>34</v>
      </c>
      <c r="D19" s="622">
        <f>'68.50.50.01-rest dss'!D19+CPFA!D19</f>
        <v>0</v>
      </c>
      <c r="E19" s="622">
        <f>'68.50.50.01-rest dss'!E19+CPFA!E19</f>
        <v>0</v>
      </c>
      <c r="F19" s="365">
        <f>'68.50.50.01-rest dss'!F19+CPFA!F19</f>
        <v>0</v>
      </c>
      <c r="G19" s="801">
        <f>'68.50.50.01-rest dss'!G19+CPFA!G19</f>
        <v>0</v>
      </c>
      <c r="H19" s="801">
        <f>'68.50.50.01-rest dss'!H19+CPFA!H19</f>
        <v>0</v>
      </c>
      <c r="I19" s="801">
        <f>'68.50.50.01-rest dss'!I19+CPFA!I19</f>
        <v>0</v>
      </c>
      <c r="J19" s="801">
        <f>'68.50.50.01-rest dss'!J19+CPFA!J19</f>
        <v>0</v>
      </c>
      <c r="K19" s="45"/>
      <c r="L19" s="44"/>
      <c r="M19" s="711"/>
      <c r="P19" s="48"/>
    </row>
    <row r="20" spans="1:16" s="4" customFormat="1" x14ac:dyDescent="0.2">
      <c r="A20" s="689">
        <v>10</v>
      </c>
      <c r="B20" s="40" t="s">
        <v>333</v>
      </c>
      <c r="C20" s="41" t="s">
        <v>334</v>
      </c>
      <c r="D20" s="622">
        <f>'68.50.50.01-rest dss'!D20+CPFA!D20</f>
        <v>0</v>
      </c>
      <c r="E20" s="622">
        <f>'68.50.50.01-rest dss'!E20+CPFA!E20</f>
        <v>0</v>
      </c>
      <c r="F20" s="365">
        <f>'68.50.50.01-rest dss'!F20+CPFA!F20</f>
        <v>8</v>
      </c>
      <c r="G20" s="801">
        <f>'68.50.50.01-rest dss'!G20+CPFA!G20</f>
        <v>2</v>
      </c>
      <c r="H20" s="801">
        <f>'68.50.50.01-rest dss'!H20+CPFA!H20</f>
        <v>2</v>
      </c>
      <c r="I20" s="801">
        <f>'68.50.50.01-rest dss'!I20+CPFA!I20</f>
        <v>2</v>
      </c>
      <c r="J20" s="801">
        <f>'68.50.50.01-rest dss'!J20+CPFA!J20</f>
        <v>2</v>
      </c>
      <c r="K20" s="45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622">
        <f>'68.50.50.01-rest dss'!D21+CPFA!D21</f>
        <v>0</v>
      </c>
      <c r="E21" s="622">
        <f>'68.50.50.01-rest dss'!E21+CPFA!E21</f>
        <v>0</v>
      </c>
      <c r="F21" s="801">
        <f>'68.50.50.01-rest dss'!F21+CPFA!F21</f>
        <v>621</v>
      </c>
      <c r="G21" s="801">
        <f>'68.50.50.01-rest dss'!G21+CPFA!G21</f>
        <v>149</v>
      </c>
      <c r="H21" s="801">
        <f>'68.50.50.01-rest dss'!H21+CPFA!H21</f>
        <v>155</v>
      </c>
      <c r="I21" s="801">
        <f>'68.50.50.01-rest dss'!I21+CPFA!I21</f>
        <v>157</v>
      </c>
      <c r="J21" s="801">
        <f>'68.50.50.01-rest dss'!J21+CPFA!J21</f>
        <v>160</v>
      </c>
      <c r="K21" s="45"/>
      <c r="L21" s="44"/>
      <c r="M21" s="711"/>
      <c r="P21" s="48"/>
    </row>
    <row r="22" spans="1:16" s="4" customFormat="1" x14ac:dyDescent="0.2">
      <c r="A22" s="689">
        <v>12</v>
      </c>
      <c r="B22" s="40" t="s">
        <v>39</v>
      </c>
      <c r="C22" s="41" t="s">
        <v>40</v>
      </c>
      <c r="D22" s="622">
        <f>'68.50.50.01-rest dss'!D22+CPFA!D22</f>
        <v>0</v>
      </c>
      <c r="E22" s="622">
        <f>'68.50.50.01-rest dss'!E22+CPFA!E22</f>
        <v>0</v>
      </c>
      <c r="F22" s="801">
        <f>'68.50.50.01-rest dss'!F22+CPFA!F22</f>
        <v>6</v>
      </c>
      <c r="G22" s="801">
        <f>'68.50.50.01-rest dss'!G22+CPFA!G22</f>
        <v>2</v>
      </c>
      <c r="H22" s="801">
        <f>'68.50.50.01-rest dss'!H22+CPFA!H22</f>
        <v>2</v>
      </c>
      <c r="I22" s="801">
        <f>'68.50.50.01-rest dss'!I22+CPFA!I22</f>
        <v>1</v>
      </c>
      <c r="J22" s="801">
        <f>'68.50.50.01-rest dss'!J22+CPFA!J22</f>
        <v>1</v>
      </c>
      <c r="K22" s="45"/>
      <c r="L22" s="44"/>
      <c r="M22" s="711"/>
      <c r="P22" s="48"/>
    </row>
    <row r="23" spans="1:16" s="4" customFormat="1" x14ac:dyDescent="0.2">
      <c r="A23" s="689">
        <v>13</v>
      </c>
      <c r="B23" s="40" t="s">
        <v>41</v>
      </c>
      <c r="C23" s="52" t="s">
        <v>42</v>
      </c>
      <c r="D23" s="363">
        <f>'68.50.50.01-rest dss'!D23+CPFA!D23</f>
        <v>0</v>
      </c>
      <c r="E23" s="293">
        <f>'68.50.50.01-rest dss'!E23+CPFA!E23</f>
        <v>0</v>
      </c>
      <c r="F23" s="364">
        <f>'68.50.50.01-rest dss'!F23+CPFA!F23</f>
        <v>131</v>
      </c>
      <c r="G23" s="364">
        <f>'68.50.50.01-rest dss'!G23+CPFA!G23</f>
        <v>0</v>
      </c>
      <c r="H23" s="364">
        <f>'68.50.50.01-rest dss'!H23+CPFA!H23</f>
        <v>130</v>
      </c>
      <c r="I23" s="364">
        <f>'68.50.50.01-rest dss'!I23+CPFA!I23</f>
        <v>1</v>
      </c>
      <c r="J23" s="364">
        <f>'68.50.50.01-rest dss'!J23+CPFA!J23</f>
        <v>0</v>
      </c>
      <c r="K23" s="45"/>
      <c r="L23" s="44"/>
      <c r="M23" s="711"/>
      <c r="P23" s="48"/>
    </row>
    <row r="24" spans="1:16" s="4" customFormat="1" ht="12.75" customHeight="1" x14ac:dyDescent="0.2">
      <c r="A24" s="689">
        <v>14</v>
      </c>
      <c r="B24" s="40" t="s">
        <v>43</v>
      </c>
      <c r="C24" s="54" t="s">
        <v>44</v>
      </c>
      <c r="D24" s="363">
        <f>'68.50.50.01-rest dss'!D24+CPFA!D24</f>
        <v>0</v>
      </c>
      <c r="E24" s="363">
        <f>'68.50.50.01-rest dss'!E24+CPFA!E24</f>
        <v>0</v>
      </c>
      <c r="F24" s="365">
        <f>'68.50.50.01-rest dss'!F24+CPFA!F24</f>
        <v>131</v>
      </c>
      <c r="G24" s="365">
        <f>'68.50.50.01-rest dss'!G24+CPFA!G24</f>
        <v>0</v>
      </c>
      <c r="H24" s="365">
        <f>'68.50.50.01-rest dss'!H24+CPFA!H24</f>
        <v>130</v>
      </c>
      <c r="I24" s="365">
        <f>'68.50.50.01-rest dss'!I24+CPFA!I24</f>
        <v>1</v>
      </c>
      <c r="J24" s="365">
        <f>'68.50.50.01-rest dss'!J24+CPFA!J24</f>
        <v>0</v>
      </c>
      <c r="K24" s="45"/>
      <c r="L24" s="44"/>
      <c r="M24" s="711"/>
      <c r="P24" s="48"/>
    </row>
    <row r="25" spans="1:16" s="4" customFormat="1" ht="12.75" hidden="1" customHeight="1" x14ac:dyDescent="0.2">
      <c r="A25" s="689">
        <v>15</v>
      </c>
      <c r="B25" s="40" t="s">
        <v>230</v>
      </c>
      <c r="C25" s="54" t="s">
        <v>231</v>
      </c>
      <c r="D25" s="363"/>
      <c r="E25" s="363"/>
      <c r="F25" s="365"/>
      <c r="G25" s="365"/>
      <c r="H25" s="365"/>
      <c r="I25" s="365"/>
      <c r="J25" s="365"/>
      <c r="K25" s="45"/>
      <c r="L25" s="44"/>
      <c r="M25" s="711"/>
      <c r="P25" s="48"/>
    </row>
    <row r="26" spans="1:16" s="4" customFormat="1" ht="12.75" customHeight="1" x14ac:dyDescent="0.2">
      <c r="A26" s="689">
        <v>16</v>
      </c>
      <c r="B26" s="55" t="s">
        <v>45</v>
      </c>
      <c r="C26" s="56" t="s">
        <v>46</v>
      </c>
      <c r="D26" s="363">
        <f>'68.50.50.01-rest dss'!D26+CPFA!D26</f>
        <v>0</v>
      </c>
      <c r="E26" s="363">
        <f>'68.50.50.01-rest dss'!E26+CPFA!E26</f>
        <v>0</v>
      </c>
      <c r="F26" s="364">
        <f>'68.50.50.01-rest dss'!F26+CPFA!F26</f>
        <v>465</v>
      </c>
      <c r="G26" s="364">
        <f>'68.50.50.01-rest dss'!G26+CPFA!G26</f>
        <v>108</v>
      </c>
      <c r="H26" s="364">
        <f>'68.50.50.01-rest dss'!H26+CPFA!H26</f>
        <v>119</v>
      </c>
      <c r="I26" s="364">
        <f>'68.50.50.01-rest dss'!I26+CPFA!I26</f>
        <v>120</v>
      </c>
      <c r="J26" s="364">
        <f>'68.50.50.01-rest dss'!J26+CPFA!J26</f>
        <v>118</v>
      </c>
      <c r="K26" s="57"/>
      <c r="L26" s="43"/>
      <c r="M26" s="771"/>
    </row>
    <row r="27" spans="1:16" s="4" customFormat="1" ht="12.75" hidden="1" customHeight="1" x14ac:dyDescent="0.2">
      <c r="A27" s="689">
        <v>17</v>
      </c>
      <c r="B27" s="59" t="s">
        <v>47</v>
      </c>
      <c r="C27" s="41" t="s">
        <v>48</v>
      </c>
      <c r="D27" s="363">
        <f>'68.50.50.01-rest dss'!D27+CPFA!D27</f>
        <v>0</v>
      </c>
      <c r="E27" s="363">
        <f>'68.50.50.01-rest dss'!E27+CPFA!E27</f>
        <v>0</v>
      </c>
      <c r="F27" s="365">
        <f>'68.50.50.01-rest dss'!F27+CPFA!F27</f>
        <v>0</v>
      </c>
      <c r="G27" s="365">
        <f>'68.50.50.01-rest dss'!G27+CPFA!G27</f>
        <v>0</v>
      </c>
      <c r="H27" s="365">
        <f>'68.50.50.01-rest dss'!H27+CPFA!H27</f>
        <v>0</v>
      </c>
      <c r="I27" s="365">
        <f>'68.50.50.01-rest dss'!I27+CPFA!I27</f>
        <v>0</v>
      </c>
      <c r="J27" s="365">
        <f>'68.50.50.01-rest dss'!J27+CPFA!J27</f>
        <v>0</v>
      </c>
      <c r="K27" s="45"/>
      <c r="L27" s="44"/>
      <c r="M27" s="711"/>
    </row>
    <row r="28" spans="1:16" s="4" customFormat="1" ht="12.75" hidden="1" customHeight="1" x14ac:dyDescent="0.2">
      <c r="A28" s="689">
        <v>18</v>
      </c>
      <c r="B28" s="59" t="s">
        <v>49</v>
      </c>
      <c r="C28" s="41" t="s">
        <v>50</v>
      </c>
      <c r="D28" s="363">
        <f>'68.50.50.01-rest dss'!D28+CPFA!D28</f>
        <v>0</v>
      </c>
      <c r="E28" s="363">
        <f>'68.50.50.01-rest dss'!E28+CPFA!E28</f>
        <v>0</v>
      </c>
      <c r="F28" s="365">
        <f>'68.50.50.01-rest dss'!F28+CPFA!F28</f>
        <v>0</v>
      </c>
      <c r="G28" s="365">
        <f>'68.50.50.01-rest dss'!G28+CPFA!G28</f>
        <v>0</v>
      </c>
      <c r="H28" s="365">
        <f>'68.50.50.01-rest dss'!H28+CPFA!H28</f>
        <v>0</v>
      </c>
      <c r="I28" s="365">
        <f>'68.50.50.01-rest dss'!I28+CPFA!I28</f>
        <v>0</v>
      </c>
      <c r="J28" s="365">
        <f>'68.50.50.01-rest dss'!J28+CPFA!J28</f>
        <v>0</v>
      </c>
      <c r="K28" s="45"/>
      <c r="L28" s="44"/>
      <c r="M28" s="711"/>
    </row>
    <row r="29" spans="1:16" s="4" customFormat="1" ht="12.75" hidden="1" customHeight="1" x14ac:dyDescent="0.2">
      <c r="A29" s="689">
        <v>19</v>
      </c>
      <c r="B29" s="59" t="s">
        <v>51</v>
      </c>
      <c r="C29" s="41" t="s">
        <v>52</v>
      </c>
      <c r="D29" s="363">
        <f>'68.50.50.01-rest dss'!D29+CPFA!D29</f>
        <v>0</v>
      </c>
      <c r="E29" s="363">
        <f>'68.50.50.01-rest dss'!E29+CPFA!E29</f>
        <v>0</v>
      </c>
      <c r="F29" s="365">
        <f>'68.50.50.01-rest dss'!F29+CPFA!F29</f>
        <v>0</v>
      </c>
      <c r="G29" s="365">
        <f>'68.50.50.01-rest dss'!G29+CPFA!G29</f>
        <v>0</v>
      </c>
      <c r="H29" s="365">
        <f>'68.50.50.01-rest dss'!H29+CPFA!H29</f>
        <v>0</v>
      </c>
      <c r="I29" s="365">
        <f>'68.50.50.01-rest dss'!I29+CPFA!I29</f>
        <v>0</v>
      </c>
      <c r="J29" s="365">
        <f>'68.50.50.01-rest dss'!J29+CPFA!J29</f>
        <v>0</v>
      </c>
      <c r="K29" s="45"/>
      <c r="L29" s="44"/>
      <c r="M29" s="711"/>
    </row>
    <row r="30" spans="1:16" s="4" customFormat="1" ht="25.5" hidden="1" customHeight="1" x14ac:dyDescent="0.2">
      <c r="A30" s="689">
        <v>20</v>
      </c>
      <c r="B30" s="60" t="s">
        <v>53</v>
      </c>
      <c r="C30" s="61" t="s">
        <v>54</v>
      </c>
      <c r="D30" s="363">
        <f>'68.50.50.01-rest dss'!D30+CPFA!D30</f>
        <v>0</v>
      </c>
      <c r="E30" s="363">
        <f>'68.50.50.01-rest dss'!E30+CPFA!E30</f>
        <v>0</v>
      </c>
      <c r="F30" s="365">
        <f>'68.50.50.01-rest dss'!F30+CPFA!F30</f>
        <v>0</v>
      </c>
      <c r="G30" s="365">
        <f>'68.50.50.01-rest dss'!G30+CPFA!G30</f>
        <v>0</v>
      </c>
      <c r="H30" s="365">
        <f>'68.50.50.01-rest dss'!H30+CPFA!H30</f>
        <v>0</v>
      </c>
      <c r="I30" s="365">
        <f>'68.50.50.01-rest dss'!I30+CPFA!I30</f>
        <v>0</v>
      </c>
      <c r="J30" s="365">
        <f>'68.50.50.01-rest dss'!J30+CPFA!J30</f>
        <v>0</v>
      </c>
      <c r="K30" s="45"/>
      <c r="L30" s="44"/>
      <c r="M30" s="711"/>
    </row>
    <row r="31" spans="1:16" s="4" customFormat="1" ht="12.75" hidden="1" customHeight="1" x14ac:dyDescent="0.2">
      <c r="A31" s="689">
        <v>21</v>
      </c>
      <c r="B31" s="59" t="s">
        <v>55</v>
      </c>
      <c r="C31" s="41" t="s">
        <v>56</v>
      </c>
      <c r="D31" s="363">
        <f>'68.50.50.01-rest dss'!D31+CPFA!D31</f>
        <v>0</v>
      </c>
      <c r="E31" s="363">
        <f>'68.50.50.01-rest dss'!E31+CPFA!E31</f>
        <v>0</v>
      </c>
      <c r="F31" s="365">
        <f>'68.50.50.01-rest dss'!F31+CPFA!F31</f>
        <v>0</v>
      </c>
      <c r="G31" s="365">
        <f>'68.50.50.01-rest dss'!G31+CPFA!G31</f>
        <v>0</v>
      </c>
      <c r="H31" s="365">
        <f>'68.50.50.01-rest dss'!H31+CPFA!H31</f>
        <v>0</v>
      </c>
      <c r="I31" s="365">
        <f>'68.50.50.01-rest dss'!I31+CPFA!I31</f>
        <v>0</v>
      </c>
      <c r="J31" s="365">
        <f>'68.50.50.01-rest dss'!J31+CPFA!J31</f>
        <v>0</v>
      </c>
      <c r="K31" s="45"/>
      <c r="L31" s="44"/>
      <c r="M31" s="711"/>
    </row>
    <row r="32" spans="1:16" s="4" customFormat="1" ht="12.75" customHeight="1" x14ac:dyDescent="0.2">
      <c r="A32" s="689">
        <v>22</v>
      </c>
      <c r="B32" s="59" t="s">
        <v>57</v>
      </c>
      <c r="C32" s="41" t="s">
        <v>58</v>
      </c>
      <c r="D32" s="363">
        <f>'68.50.50.01-rest dss'!D32+CPFA!D32</f>
        <v>0</v>
      </c>
      <c r="E32" s="363">
        <f>'68.50.50.01-rest dss'!E32+CPFA!E32</f>
        <v>0</v>
      </c>
      <c r="F32" s="365">
        <f>'68.50.50.01-rest dss'!F32+CPFA!F32</f>
        <v>465</v>
      </c>
      <c r="G32" s="365">
        <f>'68.50.50.01-rest dss'!G32+CPFA!G32</f>
        <v>108</v>
      </c>
      <c r="H32" s="365">
        <f>'68.50.50.01-rest dss'!H32+CPFA!H32</f>
        <v>119</v>
      </c>
      <c r="I32" s="365">
        <f>'68.50.50.01-rest dss'!I32+CPFA!I32</f>
        <v>120</v>
      </c>
      <c r="J32" s="365">
        <f>'68.50.50.01-rest dss'!J32+CPFA!J32</f>
        <v>118</v>
      </c>
      <c r="K32" s="45"/>
      <c r="L32" s="44"/>
      <c r="M32" s="711"/>
    </row>
    <row r="33" spans="1:17" s="4" customFormat="1" ht="12.75" hidden="1" customHeight="1" x14ac:dyDescent="0.2">
      <c r="A33" s="689">
        <v>23</v>
      </c>
      <c r="B33" s="59" t="s">
        <v>59</v>
      </c>
      <c r="C33" s="41" t="s">
        <v>60</v>
      </c>
      <c r="D33" s="363">
        <f>'68.50.50.01-rest dss'!D33+CPFA!D33</f>
        <v>0</v>
      </c>
      <c r="E33" s="363">
        <f>'68.50.50.01-rest dss'!E33+CPFA!E33</f>
        <v>0</v>
      </c>
      <c r="F33" s="364">
        <f>'68.50.50.01-rest dss'!F33+CPFA!F33</f>
        <v>0</v>
      </c>
      <c r="G33" s="364">
        <f>'68.50.50.01-rest dss'!G33+CPFA!G33</f>
        <v>0</v>
      </c>
      <c r="H33" s="364">
        <f>'68.50.50.01-rest dss'!H33+CPFA!H33</f>
        <v>0</v>
      </c>
      <c r="I33" s="364">
        <f>'68.50.50.01-rest dss'!I33+CPFA!I33</f>
        <v>0</v>
      </c>
      <c r="J33" s="364">
        <f>'68.50.50.01-rest dss'!J33+CPFA!J33</f>
        <v>0</v>
      </c>
      <c r="K33" s="45"/>
      <c r="L33" s="44"/>
      <c r="M33" s="711"/>
    </row>
    <row r="34" spans="1:17" s="4" customFormat="1" ht="25.5" customHeight="1" x14ac:dyDescent="0.2">
      <c r="A34" s="689">
        <v>24</v>
      </c>
      <c r="B34" s="169" t="s">
        <v>61</v>
      </c>
      <c r="C34" s="170">
        <v>20</v>
      </c>
      <c r="D34" s="293">
        <f>'68.50.50.01-rest dss'!D34+CPFA!D34</f>
        <v>0</v>
      </c>
      <c r="E34" s="363">
        <f>'68.50.50.01-rest dss'!E34+CPFA!E34</f>
        <v>0</v>
      </c>
      <c r="F34" s="364">
        <f>'68.50.50.01-rest dss'!F34+CPFA!F34</f>
        <v>5670.3099999999995</v>
      </c>
      <c r="G34" s="364">
        <f>'68.50.50.01-rest dss'!G34+CPFA!G34</f>
        <v>1252</v>
      </c>
      <c r="H34" s="364">
        <f>'68.50.50.01-rest dss'!H34+CPFA!H34</f>
        <v>1608.31</v>
      </c>
      <c r="I34" s="364">
        <f>'68.50.50.01-rest dss'!I34+CPFA!I34</f>
        <v>1494</v>
      </c>
      <c r="J34" s="364">
        <f>'68.50.50.01-rest dss'!J34+CPFA!J34</f>
        <v>1316</v>
      </c>
      <c r="K34" s="979">
        <f>'68.50.50.01-rest dss'!K34+CPFA!K34-0.9</f>
        <v>5637.0018580000014</v>
      </c>
      <c r="L34" s="999">
        <f>'68.50.50.01-rest dss'!L34+CPFA!L34-1.44</f>
        <v>5654.9952200000007</v>
      </c>
      <c r="M34" s="1000">
        <f>'68.50.50.01-rest dss'!M34+CPFA!M34-0.23</f>
        <v>5669.9974800000009</v>
      </c>
    </row>
    <row r="35" spans="1:17" s="4" customFormat="1" ht="12.75" customHeight="1" x14ac:dyDescent="0.2">
      <c r="A35" s="689">
        <v>25</v>
      </c>
      <c r="B35" s="160" t="s">
        <v>62</v>
      </c>
      <c r="C35" s="56" t="s">
        <v>63</v>
      </c>
      <c r="D35" s="363">
        <f>'68.50.50.01-rest dss'!D35+CPFA!D35</f>
        <v>0</v>
      </c>
      <c r="E35" s="363">
        <f>'68.50.50.01-rest dss'!E35+CPFA!E35</f>
        <v>0</v>
      </c>
      <c r="F35" s="364">
        <f>'68.50.50.01-rest dss'!F35+CPFA!F35</f>
        <v>1684</v>
      </c>
      <c r="G35" s="364">
        <f>'68.50.50.01-rest dss'!G35+CPFA!G35</f>
        <v>813</v>
      </c>
      <c r="H35" s="364">
        <f>'68.50.50.01-rest dss'!H35+CPFA!H35</f>
        <v>432</v>
      </c>
      <c r="I35" s="364">
        <f>'68.50.50.01-rest dss'!I35+CPFA!I35</f>
        <v>281</v>
      </c>
      <c r="J35" s="364">
        <f>'68.50.50.01-rest dss'!J35+CPFA!J35</f>
        <v>158</v>
      </c>
      <c r="K35" s="57"/>
      <c r="L35" s="43"/>
      <c r="M35" s="771"/>
    </row>
    <row r="36" spans="1:17" s="4" customFormat="1" ht="12.75" customHeight="1" x14ac:dyDescent="0.2">
      <c r="A36" s="689">
        <v>26</v>
      </c>
      <c r="B36" s="55" t="s">
        <v>64</v>
      </c>
      <c r="C36" s="56" t="s">
        <v>65</v>
      </c>
      <c r="D36" s="363">
        <f>'68.50.50.01-rest dss'!D36+CPFA!D36</f>
        <v>0</v>
      </c>
      <c r="E36" s="363">
        <f>'68.50.50.01-rest dss'!E36+CPFA!E36</f>
        <v>0</v>
      </c>
      <c r="F36" s="364">
        <f>'68.50.50.01-rest dss'!F36+CPFA!F36</f>
        <v>26</v>
      </c>
      <c r="G36" s="364">
        <f>'68.50.50.01-rest dss'!G36+CPFA!G36</f>
        <v>16</v>
      </c>
      <c r="H36" s="364">
        <f>'68.50.50.01-rest dss'!H36+CPFA!H36</f>
        <v>10</v>
      </c>
      <c r="I36" s="364">
        <f>'68.50.50.01-rest dss'!I36+CPFA!I36</f>
        <v>0</v>
      </c>
      <c r="J36" s="364">
        <f>'68.50.50.01-rest dss'!J36+CPFA!J36</f>
        <v>0</v>
      </c>
      <c r="K36" s="45"/>
      <c r="L36" s="44"/>
      <c r="M36" s="711"/>
    </row>
    <row r="37" spans="1:17" s="4" customFormat="1" ht="12.75" customHeight="1" x14ac:dyDescent="0.2">
      <c r="A37" s="689">
        <v>27</v>
      </c>
      <c r="B37" s="59" t="s">
        <v>64</v>
      </c>
      <c r="C37" s="41"/>
      <c r="D37" s="363">
        <f>'68.50.50.01-rest dss'!D37+CPFA!D37</f>
        <v>0</v>
      </c>
      <c r="E37" s="363">
        <f>'68.50.50.01-rest dss'!E37+CPFA!E37</f>
        <v>0</v>
      </c>
      <c r="F37" s="365">
        <f>'68.50.50.01-rest dss'!F37+CPFA!F37</f>
        <v>26</v>
      </c>
      <c r="G37" s="365">
        <f>'68.50.50.01-rest dss'!G37+CPFA!G37</f>
        <v>16</v>
      </c>
      <c r="H37" s="365">
        <f>'68.50.50.01-rest dss'!H37+CPFA!H37</f>
        <v>10</v>
      </c>
      <c r="I37" s="365">
        <f>'68.50.50.01-rest dss'!I37+CPFA!I37</f>
        <v>0</v>
      </c>
      <c r="J37" s="365">
        <f>'68.50.50.01-rest dss'!J37+CPFA!J37</f>
        <v>0</v>
      </c>
      <c r="K37" s="45"/>
      <c r="L37" s="44"/>
      <c r="M37" s="711"/>
    </row>
    <row r="38" spans="1:17" s="4" customFormat="1" ht="12.75" hidden="1" customHeight="1" x14ac:dyDescent="0.2">
      <c r="A38" s="689">
        <v>28</v>
      </c>
      <c r="B38" s="59" t="s">
        <v>66</v>
      </c>
      <c r="C38" s="41"/>
      <c r="D38" s="363">
        <f>'68.50.50.01-rest dss'!D38+CPFA!D38</f>
        <v>0</v>
      </c>
      <c r="E38" s="363">
        <f>'68.50.50.01-rest dss'!E38+CPFA!E38</f>
        <v>0</v>
      </c>
      <c r="F38" s="365">
        <f>'68.50.50.01-rest dss'!F38+CPFA!F38</f>
        <v>0</v>
      </c>
      <c r="G38" s="365">
        <f>'68.50.50.01-rest dss'!G38+CPFA!G38</f>
        <v>0</v>
      </c>
      <c r="H38" s="365">
        <f>'68.50.50.01-rest dss'!H38+CPFA!H38</f>
        <v>0</v>
      </c>
      <c r="I38" s="365">
        <f>'68.50.50.01-rest dss'!I38+CPFA!I38</f>
        <v>0</v>
      </c>
      <c r="J38" s="365">
        <f>'68.50.50.01-rest dss'!J38+CPFA!J38</f>
        <v>0</v>
      </c>
      <c r="K38" s="45"/>
      <c r="L38" s="44"/>
      <c r="M38" s="711"/>
    </row>
    <row r="39" spans="1:17" s="4" customFormat="1" ht="12.75" hidden="1" customHeight="1" x14ac:dyDescent="0.2">
      <c r="A39" s="689">
        <v>29</v>
      </c>
      <c r="B39" s="59" t="s">
        <v>67</v>
      </c>
      <c r="C39" s="41"/>
      <c r="D39" s="363">
        <f>'68.50.50.01-rest dss'!D39+CPFA!D39</f>
        <v>0</v>
      </c>
      <c r="E39" s="363">
        <f>'68.50.50.01-rest dss'!E39+CPFA!E39</f>
        <v>0</v>
      </c>
      <c r="F39" s="364">
        <f>'68.50.50.01-rest dss'!F39+CPFA!F39</f>
        <v>0</v>
      </c>
      <c r="G39" s="364">
        <f>'68.50.50.01-rest dss'!G39+CPFA!G39</f>
        <v>0</v>
      </c>
      <c r="H39" s="364">
        <f>'68.50.50.01-rest dss'!H39+CPFA!H39</f>
        <v>0</v>
      </c>
      <c r="I39" s="364">
        <f>'68.50.50.01-rest dss'!I39+CPFA!I39</f>
        <v>0</v>
      </c>
      <c r="J39" s="364">
        <f>'68.50.50.01-rest dss'!J39+CPFA!J39</f>
        <v>0</v>
      </c>
      <c r="K39" s="45"/>
      <c r="L39" s="44"/>
      <c r="M39" s="711"/>
    </row>
    <row r="40" spans="1:17" s="4" customFormat="1" ht="12.75" customHeight="1" x14ac:dyDescent="0.2">
      <c r="A40" s="689">
        <v>30</v>
      </c>
      <c r="B40" s="55" t="s">
        <v>68</v>
      </c>
      <c r="C40" s="56" t="s">
        <v>69</v>
      </c>
      <c r="D40" s="363">
        <f>'68.50.50.01-rest dss'!D40+CPFA!D40</f>
        <v>0</v>
      </c>
      <c r="E40" s="363">
        <f>'68.50.50.01-rest dss'!E40+CPFA!E40</f>
        <v>0</v>
      </c>
      <c r="F40" s="364">
        <f>'68.50.50.01-rest dss'!F40+CPFA!F40</f>
        <v>14</v>
      </c>
      <c r="G40" s="364">
        <f>'68.50.50.01-rest dss'!G40+CPFA!G40</f>
        <v>10</v>
      </c>
      <c r="H40" s="364">
        <f>'68.50.50.01-rest dss'!H40+CPFA!H40</f>
        <v>4</v>
      </c>
      <c r="I40" s="364">
        <f>'68.50.50.01-rest dss'!I40+CPFA!I40</f>
        <v>0</v>
      </c>
      <c r="J40" s="364">
        <f>'68.50.50.01-rest dss'!J40+CPFA!J40</f>
        <v>0</v>
      </c>
      <c r="K40" s="45"/>
      <c r="L40" s="44"/>
      <c r="M40" s="711"/>
      <c r="Q40" s="366"/>
    </row>
    <row r="41" spans="1:17" s="4" customFormat="1" ht="12.75" customHeight="1" x14ac:dyDescent="0.2">
      <c r="A41" s="689">
        <v>31</v>
      </c>
      <c r="B41" s="59" t="s">
        <v>70</v>
      </c>
      <c r="C41" s="56"/>
      <c r="D41" s="363">
        <f>'68.50.50.01-rest dss'!D41+CPFA!D41</f>
        <v>0</v>
      </c>
      <c r="E41" s="363">
        <f>'68.50.50.01-rest dss'!E41+CPFA!E41</f>
        <v>0</v>
      </c>
      <c r="F41" s="365">
        <f>'68.50.50.01-rest dss'!F41+CPFA!F41</f>
        <v>14</v>
      </c>
      <c r="G41" s="365">
        <f>'68.50.50.01-rest dss'!G41+CPFA!G41</f>
        <v>10</v>
      </c>
      <c r="H41" s="365">
        <f>'68.50.50.01-rest dss'!H41+CPFA!H41</f>
        <v>4</v>
      </c>
      <c r="I41" s="365">
        <f>'68.50.50.01-rest dss'!I41+CPFA!I41</f>
        <v>0</v>
      </c>
      <c r="J41" s="365">
        <f>'68.50.50.01-rest dss'!J41+CPFA!J41</f>
        <v>0</v>
      </c>
      <c r="K41" s="45"/>
      <c r="L41" s="44"/>
      <c r="M41" s="711"/>
    </row>
    <row r="42" spans="1:17" s="4" customFormat="1" ht="12.75" hidden="1" customHeight="1" x14ac:dyDescent="0.2">
      <c r="A42" s="689">
        <v>32</v>
      </c>
      <c r="B42" s="59" t="s">
        <v>71</v>
      </c>
      <c r="C42" s="56"/>
      <c r="D42" s="363">
        <f>'68.50.50.01-rest dss'!D42+CPFA!D42</f>
        <v>0</v>
      </c>
      <c r="E42" s="363">
        <f>'68.50.50.01-rest dss'!E42+CPFA!E42</f>
        <v>0</v>
      </c>
      <c r="F42" s="364">
        <f>'68.50.50.01-rest dss'!F42+CPFA!F42</f>
        <v>0</v>
      </c>
      <c r="G42" s="364">
        <f>'68.50.50.01-rest dss'!G42+CPFA!G42</f>
        <v>0</v>
      </c>
      <c r="H42" s="364">
        <f>'68.50.50.01-rest dss'!H42+CPFA!H42</f>
        <v>0</v>
      </c>
      <c r="I42" s="364">
        <f>'68.50.50.01-rest dss'!I42+CPFA!I42</f>
        <v>0</v>
      </c>
      <c r="J42" s="364">
        <f>'68.50.50.01-rest dss'!J42+CPFA!J42</f>
        <v>0</v>
      </c>
      <c r="K42" s="45"/>
      <c r="L42" s="44"/>
      <c r="M42" s="711"/>
    </row>
    <row r="43" spans="1:17" s="4" customFormat="1" ht="12.75" customHeight="1" x14ac:dyDescent="0.2">
      <c r="A43" s="689">
        <v>33</v>
      </c>
      <c r="B43" s="59" t="s">
        <v>72</v>
      </c>
      <c r="C43" s="41" t="s">
        <v>73</v>
      </c>
      <c r="D43" s="363">
        <f>'68.50.50.01-rest dss'!D43+CPFA!D43</f>
        <v>0</v>
      </c>
      <c r="E43" s="363">
        <f>'68.50.50.01-rest dss'!E43+CPFA!E43</f>
        <v>0</v>
      </c>
      <c r="F43" s="364">
        <f>'68.50.50.01-rest dss'!F43+CPFA!F43</f>
        <v>586</v>
      </c>
      <c r="G43" s="364">
        <f>'68.50.50.01-rest dss'!G43+CPFA!G43</f>
        <v>370</v>
      </c>
      <c r="H43" s="364">
        <f>'68.50.50.01-rest dss'!H43+CPFA!H43</f>
        <v>125</v>
      </c>
      <c r="I43" s="364">
        <f>'68.50.50.01-rest dss'!I43+CPFA!I43</f>
        <v>35</v>
      </c>
      <c r="J43" s="364">
        <f>'68.50.50.01-rest dss'!J43+CPFA!J43</f>
        <v>56</v>
      </c>
      <c r="K43" s="45"/>
      <c r="L43" s="44"/>
      <c r="M43" s="711"/>
    </row>
    <row r="44" spans="1:17" s="4" customFormat="1" ht="12.75" customHeight="1" x14ac:dyDescent="0.2">
      <c r="A44" s="689">
        <v>34</v>
      </c>
      <c r="B44" s="59" t="s">
        <v>74</v>
      </c>
      <c r="C44" s="41" t="s">
        <v>75</v>
      </c>
      <c r="D44" s="363">
        <f>'68.50.50.01-rest dss'!D44+CPFA!D44</f>
        <v>0</v>
      </c>
      <c r="E44" s="363">
        <f>'68.50.50.01-rest dss'!E44+CPFA!E44</f>
        <v>0</v>
      </c>
      <c r="F44" s="364">
        <f>'68.50.50.01-rest dss'!F44+CPFA!F44</f>
        <v>203</v>
      </c>
      <c r="G44" s="364">
        <f>'68.50.50.01-rest dss'!G44+CPFA!G44</f>
        <v>87</v>
      </c>
      <c r="H44" s="364">
        <f>'68.50.50.01-rest dss'!H44+CPFA!H44</f>
        <v>50</v>
      </c>
      <c r="I44" s="364">
        <f>'68.50.50.01-rest dss'!I44+CPFA!I44</f>
        <v>49</v>
      </c>
      <c r="J44" s="364">
        <f>'68.50.50.01-rest dss'!J44+CPFA!J44</f>
        <v>17</v>
      </c>
      <c r="K44" s="45"/>
      <c r="L44" s="44"/>
      <c r="M44" s="711"/>
    </row>
    <row r="45" spans="1:17" s="4" customFormat="1" ht="12.75" customHeight="1" x14ac:dyDescent="0.2">
      <c r="A45" s="689">
        <v>35</v>
      </c>
      <c r="B45" s="59" t="s">
        <v>76</v>
      </c>
      <c r="C45" s="41" t="s">
        <v>77</v>
      </c>
      <c r="D45" s="363">
        <f>'68.50.50.01-rest dss'!D45+CPFA!D45</f>
        <v>0</v>
      </c>
      <c r="E45" s="363">
        <f>'68.50.50.01-rest dss'!E45+CPFA!E45</f>
        <v>0</v>
      </c>
      <c r="F45" s="364">
        <f>'68.50.50.01-rest dss'!F45+CPFA!F45</f>
        <v>26</v>
      </c>
      <c r="G45" s="364">
        <f>'68.50.50.01-rest dss'!G45+CPFA!G45</f>
        <v>9</v>
      </c>
      <c r="H45" s="364">
        <f>'68.50.50.01-rest dss'!H45+CPFA!H45</f>
        <v>9</v>
      </c>
      <c r="I45" s="364">
        <f>'68.50.50.01-rest dss'!I45+CPFA!I45</f>
        <v>6</v>
      </c>
      <c r="J45" s="364">
        <f>'68.50.50.01-rest dss'!J45+CPFA!J45</f>
        <v>2</v>
      </c>
      <c r="K45" s="45"/>
      <c r="L45" s="44"/>
      <c r="M45" s="711"/>
    </row>
    <row r="46" spans="1:17" s="4" customFormat="1" ht="12.75" hidden="1" customHeight="1" x14ac:dyDescent="0.2">
      <c r="A46" s="689">
        <v>36</v>
      </c>
      <c r="B46" s="59" t="s">
        <v>78</v>
      </c>
      <c r="C46" s="41" t="s">
        <v>79</v>
      </c>
      <c r="D46" s="363">
        <f>'68.50.50.01-rest dss'!D46+CPFA!D46</f>
        <v>0</v>
      </c>
      <c r="E46" s="363">
        <f>'68.50.50.01-rest dss'!E46+CPFA!E46</f>
        <v>0</v>
      </c>
      <c r="F46" s="364">
        <f>'68.50.50.01-rest dss'!F46+CPFA!F46</f>
        <v>0</v>
      </c>
      <c r="G46" s="364">
        <f>'68.50.50.01-rest dss'!G46+CPFA!G46</f>
        <v>0</v>
      </c>
      <c r="H46" s="364">
        <f>'68.50.50.01-rest dss'!H46+CPFA!H46</f>
        <v>0</v>
      </c>
      <c r="I46" s="364">
        <f>'68.50.50.01-rest dss'!I46+CPFA!I46</f>
        <v>0</v>
      </c>
      <c r="J46" s="364">
        <f>'68.50.50.01-rest dss'!J46+CPFA!J46</f>
        <v>0</v>
      </c>
      <c r="K46" s="45"/>
      <c r="L46" s="44"/>
      <c r="M46" s="711"/>
    </row>
    <row r="47" spans="1:17" s="4" customFormat="1" ht="12.75" customHeight="1" x14ac:dyDescent="0.2">
      <c r="A47" s="689">
        <v>37</v>
      </c>
      <c r="B47" s="59" t="s">
        <v>80</v>
      </c>
      <c r="C47" s="41" t="s">
        <v>81</v>
      </c>
      <c r="D47" s="363">
        <f>'68.50.50.01-rest dss'!D47+CPFA!D47</f>
        <v>0</v>
      </c>
      <c r="E47" s="363">
        <f>'68.50.50.01-rest dss'!E47+CPFA!E47</f>
        <v>0</v>
      </c>
      <c r="F47" s="364">
        <f>'68.50.50.01-rest dss'!F47+CPFA!F47</f>
        <v>52</v>
      </c>
      <c r="G47" s="364">
        <f>'68.50.50.01-rest dss'!G47+CPFA!G47</f>
        <v>17</v>
      </c>
      <c r="H47" s="364">
        <f>'68.50.50.01-rest dss'!H47+CPFA!H47</f>
        <v>16</v>
      </c>
      <c r="I47" s="364">
        <f>'68.50.50.01-rest dss'!I47+CPFA!I47</f>
        <v>11</v>
      </c>
      <c r="J47" s="364">
        <f>'68.50.50.01-rest dss'!J47+CPFA!J47</f>
        <v>8</v>
      </c>
      <c r="K47" s="45"/>
      <c r="L47" s="44"/>
      <c r="M47" s="711"/>
    </row>
    <row r="48" spans="1:17" s="4" customFormat="1" ht="12.75" customHeight="1" x14ac:dyDescent="0.2">
      <c r="A48" s="689">
        <v>38</v>
      </c>
      <c r="B48" s="59" t="s">
        <v>80</v>
      </c>
      <c r="C48" s="41"/>
      <c r="D48" s="363">
        <f>'68.50.50.01-rest dss'!D48+CPFA!D48</f>
        <v>0</v>
      </c>
      <c r="E48" s="363">
        <f>'68.50.50.01-rest dss'!E48+CPFA!E48</f>
        <v>0</v>
      </c>
      <c r="F48" s="365">
        <f>'68.50.50.01-rest dss'!F48+CPFA!F48</f>
        <v>52</v>
      </c>
      <c r="G48" s="365">
        <f>'68.50.50.01-rest dss'!G48+CPFA!G48</f>
        <v>17</v>
      </c>
      <c r="H48" s="365">
        <f>'68.50.50.01-rest dss'!H48+CPFA!H48</f>
        <v>16</v>
      </c>
      <c r="I48" s="365">
        <f>'68.50.50.01-rest dss'!I48+CPFA!I48</f>
        <v>11</v>
      </c>
      <c r="J48" s="365">
        <f>'68.50.50.01-rest dss'!J48+CPFA!J48</f>
        <v>8</v>
      </c>
      <c r="K48" s="45"/>
      <c r="L48" s="44"/>
      <c r="M48" s="711"/>
    </row>
    <row r="49" spans="1:13" s="4" customFormat="1" ht="12.75" hidden="1" customHeight="1" x14ac:dyDescent="0.2">
      <c r="A49" s="689">
        <v>39</v>
      </c>
      <c r="B49" s="59" t="s">
        <v>82</v>
      </c>
      <c r="C49" s="41"/>
      <c r="D49" s="363">
        <f>'68.50.50.01-rest dss'!D49+CPFA!D49</f>
        <v>0</v>
      </c>
      <c r="E49" s="363">
        <f>'68.50.50.01-rest dss'!E49+CPFA!E49</f>
        <v>0</v>
      </c>
      <c r="F49" s="365">
        <f>'68.50.50.01-rest dss'!F49+CPFA!F49</f>
        <v>0</v>
      </c>
      <c r="G49" s="365">
        <f>'68.50.50.01-rest dss'!G49+CPFA!G49</f>
        <v>0</v>
      </c>
      <c r="H49" s="365">
        <f>'68.50.50.01-rest dss'!H49+CPFA!H49</f>
        <v>0</v>
      </c>
      <c r="I49" s="365">
        <f>'68.50.50.01-rest dss'!I49+CPFA!I49</f>
        <v>0</v>
      </c>
      <c r="J49" s="365">
        <f>'68.50.50.01-rest dss'!J49+CPFA!J49</f>
        <v>0</v>
      </c>
      <c r="K49" s="45"/>
      <c r="L49" s="44"/>
      <c r="M49" s="711"/>
    </row>
    <row r="50" spans="1:13" s="4" customFormat="1" ht="12.75" customHeight="1" x14ac:dyDescent="0.2">
      <c r="A50" s="689">
        <v>40</v>
      </c>
      <c r="B50" s="73" t="s">
        <v>83</v>
      </c>
      <c r="C50" s="56" t="s">
        <v>84</v>
      </c>
      <c r="D50" s="363">
        <f>'68.50.50.01-rest dss'!D50+CPFA!D50</f>
        <v>0</v>
      </c>
      <c r="E50" s="363">
        <f>'68.50.50.01-rest dss'!E50+CPFA!E50</f>
        <v>0</v>
      </c>
      <c r="F50" s="364">
        <f>'68.50.50.01-rest dss'!F50+CPFA!F50</f>
        <v>53</v>
      </c>
      <c r="G50" s="364">
        <f>'68.50.50.01-rest dss'!G50+CPFA!G50</f>
        <v>48</v>
      </c>
      <c r="H50" s="364">
        <f>'68.50.50.01-rest dss'!H50+CPFA!H50</f>
        <v>5</v>
      </c>
      <c r="I50" s="364">
        <f>'68.50.50.01-rest dss'!I50+CPFA!I50</f>
        <v>0</v>
      </c>
      <c r="J50" s="364">
        <f>'68.50.50.01-rest dss'!J50+CPFA!J50</f>
        <v>0</v>
      </c>
      <c r="K50" s="45"/>
      <c r="L50" s="44"/>
      <c r="M50" s="711"/>
    </row>
    <row r="51" spans="1:13" s="4" customFormat="1" ht="12.75" customHeight="1" x14ac:dyDescent="0.2">
      <c r="A51" s="689">
        <v>41</v>
      </c>
      <c r="B51" s="74" t="s">
        <v>83</v>
      </c>
      <c r="C51" s="41"/>
      <c r="D51" s="363">
        <f>'68.50.50.01-rest dss'!D51+CPFA!D51</f>
        <v>0</v>
      </c>
      <c r="E51" s="363">
        <f>'68.50.50.01-rest dss'!E51+CPFA!E51</f>
        <v>0</v>
      </c>
      <c r="F51" s="365">
        <f>'68.50.50.01-rest dss'!F51+CPFA!F51</f>
        <v>48</v>
      </c>
      <c r="G51" s="365">
        <f>'68.50.50.01-rest dss'!G51+CPFA!G51</f>
        <v>43</v>
      </c>
      <c r="H51" s="365">
        <f>'68.50.50.01-rest dss'!H51+CPFA!H51</f>
        <v>5</v>
      </c>
      <c r="I51" s="365">
        <f>'68.50.50.01-rest dss'!I51+CPFA!I51</f>
        <v>0</v>
      </c>
      <c r="J51" s="365">
        <f>'68.50.50.01-rest dss'!J51+CPFA!J51</f>
        <v>0</v>
      </c>
      <c r="K51" s="45"/>
      <c r="L51" s="44"/>
      <c r="M51" s="711"/>
    </row>
    <row r="52" spans="1:13" s="4" customFormat="1" ht="12.75" customHeight="1" x14ac:dyDescent="0.2">
      <c r="A52" s="689">
        <v>42</v>
      </c>
      <c r="B52" s="74" t="s">
        <v>85</v>
      </c>
      <c r="C52" s="41"/>
      <c r="D52" s="363">
        <f>'68.50.50.01-rest dss'!D52+CPFA!D52</f>
        <v>0</v>
      </c>
      <c r="E52" s="363">
        <f>'68.50.50.01-rest dss'!E52+CPFA!E52</f>
        <v>0</v>
      </c>
      <c r="F52" s="364">
        <f>'68.50.50.01-rest dss'!F52+CPFA!F52</f>
        <v>5</v>
      </c>
      <c r="G52" s="364">
        <f>'68.50.50.01-rest dss'!G52+CPFA!G52</f>
        <v>5</v>
      </c>
      <c r="H52" s="364">
        <f>'68.50.50.01-rest dss'!H52+CPFA!H52</f>
        <v>0</v>
      </c>
      <c r="I52" s="364">
        <f>'68.50.50.01-rest dss'!I52+CPFA!I52</f>
        <v>0</v>
      </c>
      <c r="J52" s="364">
        <f>'68.50.50.01-rest dss'!J52+CPFA!J52</f>
        <v>0</v>
      </c>
      <c r="K52" s="45"/>
      <c r="L52" s="44"/>
      <c r="M52" s="711"/>
    </row>
    <row r="53" spans="1:13" s="4" customFormat="1" ht="12.75" customHeight="1" x14ac:dyDescent="0.2">
      <c r="A53" s="689">
        <v>43</v>
      </c>
      <c r="B53" s="55" t="s">
        <v>86</v>
      </c>
      <c r="C53" s="56" t="s">
        <v>87</v>
      </c>
      <c r="D53" s="363">
        <f>'68.50.50.01-rest dss'!D53+CPFA!D53</f>
        <v>0</v>
      </c>
      <c r="E53" s="363">
        <f>'68.50.50.01-rest dss'!E53+CPFA!E53</f>
        <v>0</v>
      </c>
      <c r="F53" s="364">
        <f>'68.50.50.01-rest dss'!F53+CPFA!F53</f>
        <v>724</v>
      </c>
      <c r="G53" s="364">
        <f>'68.50.50.01-rest dss'!G53+CPFA!G53</f>
        <v>256</v>
      </c>
      <c r="H53" s="364">
        <f>'68.50.50.01-rest dss'!H53+CPFA!H53</f>
        <v>213</v>
      </c>
      <c r="I53" s="364">
        <f>'68.50.50.01-rest dss'!I53+CPFA!I53</f>
        <v>180</v>
      </c>
      <c r="J53" s="364">
        <f>'68.50.50.01-rest dss'!J53+CPFA!J53</f>
        <v>75</v>
      </c>
      <c r="K53" s="45"/>
      <c r="L53" s="44"/>
      <c r="M53" s="711"/>
    </row>
    <row r="54" spans="1:13" s="4" customFormat="1" ht="12.75" customHeight="1" x14ac:dyDescent="0.2">
      <c r="A54" s="689">
        <v>44</v>
      </c>
      <c r="B54" s="59" t="s">
        <v>88</v>
      </c>
      <c r="C54" s="41"/>
      <c r="D54" s="363">
        <f>'68.50.50.01-rest dss'!D54+CPFA!D54</f>
        <v>0</v>
      </c>
      <c r="E54" s="363">
        <f>'68.50.50.01-rest dss'!E54+CPFA!E54</f>
        <v>0</v>
      </c>
      <c r="F54" s="365">
        <f>'68.50.50.01-rest dss'!F54+CPFA!F54</f>
        <v>617</v>
      </c>
      <c r="G54" s="365">
        <f>'68.50.50.01-rest dss'!G54+CPFA!G54</f>
        <v>191</v>
      </c>
      <c r="H54" s="365">
        <f>'68.50.50.01-rest dss'!H54+CPFA!H54</f>
        <v>171</v>
      </c>
      <c r="I54" s="365">
        <f>'68.50.50.01-rest dss'!I54+CPFA!I54</f>
        <v>180</v>
      </c>
      <c r="J54" s="365">
        <f>'68.50.50.01-rest dss'!J54+CPFA!J54</f>
        <v>75</v>
      </c>
      <c r="K54" s="45"/>
      <c r="L54" s="44"/>
      <c r="M54" s="711"/>
    </row>
    <row r="55" spans="1:13" s="4" customFormat="1" ht="12.75" customHeight="1" x14ac:dyDescent="0.2">
      <c r="A55" s="689">
        <v>45</v>
      </c>
      <c r="B55" s="59" t="s">
        <v>89</v>
      </c>
      <c r="C55" s="41"/>
      <c r="D55" s="363">
        <f>'68.50.50.01-rest dss'!D55+CPFA!D55</f>
        <v>0</v>
      </c>
      <c r="E55" s="363">
        <f>'68.50.50.01-rest dss'!E55+CPFA!E55</f>
        <v>0</v>
      </c>
      <c r="F55" s="365">
        <f>'68.50.50.01-rest dss'!F55+CPFA!F55</f>
        <v>107</v>
      </c>
      <c r="G55" s="365">
        <f>'68.50.50.01-rest dss'!G55+CPFA!G55</f>
        <v>65</v>
      </c>
      <c r="H55" s="365">
        <f>'68.50.50.01-rest dss'!H55+CPFA!H55</f>
        <v>42</v>
      </c>
      <c r="I55" s="365">
        <f>'68.50.50.01-rest dss'!I55+CPFA!I55</f>
        <v>0</v>
      </c>
      <c r="J55" s="365">
        <f>'68.50.50.01-rest dss'!J55+CPFA!J55</f>
        <v>0</v>
      </c>
      <c r="K55" s="45"/>
      <c r="L55" s="44"/>
      <c r="M55" s="711"/>
    </row>
    <row r="56" spans="1:13" s="4" customFormat="1" ht="12.75" hidden="1" customHeight="1" x14ac:dyDescent="0.2">
      <c r="A56" s="689">
        <v>46</v>
      </c>
      <c r="B56" s="59" t="s">
        <v>233</v>
      </c>
      <c r="C56" s="41"/>
      <c r="D56" s="363">
        <f>'68.50.50.01-rest dss'!D56+CPFA!D56</f>
        <v>0</v>
      </c>
      <c r="E56" s="363">
        <f>'68.50.50.01-rest dss'!E56+CPFA!E56</f>
        <v>0</v>
      </c>
      <c r="F56" s="365">
        <f>'68.50.50.01-rest dss'!F56+CPFA!F56</f>
        <v>0</v>
      </c>
      <c r="G56" s="365">
        <f>'68.50.50.01-rest dss'!G56+CPFA!G56</f>
        <v>0</v>
      </c>
      <c r="H56" s="365">
        <f>'68.50.50.01-rest dss'!H56+CPFA!H56</f>
        <v>0</v>
      </c>
      <c r="I56" s="365">
        <f>'68.50.50.01-rest dss'!I56+CPFA!I56</f>
        <v>0</v>
      </c>
      <c r="J56" s="365">
        <f>'68.50.50.01-rest dss'!J56+CPFA!J56</f>
        <v>0</v>
      </c>
      <c r="K56" s="57"/>
      <c r="L56" s="43"/>
      <c r="M56" s="771"/>
    </row>
    <row r="57" spans="1:13" s="4" customFormat="1" ht="12.75" customHeight="1" x14ac:dyDescent="0.2">
      <c r="A57" s="689">
        <v>47</v>
      </c>
      <c r="B57" s="55" t="s">
        <v>91</v>
      </c>
      <c r="C57" s="75" t="s">
        <v>92</v>
      </c>
      <c r="D57" s="363">
        <f>'68.50.50.01-rest dss'!D57+CPFA!D57</f>
        <v>0</v>
      </c>
      <c r="E57" s="363">
        <f>'68.50.50.01-rest dss'!E57+CPFA!E57</f>
        <v>0</v>
      </c>
      <c r="F57" s="364">
        <f>'68.50.50.01-rest dss'!F57+CPFA!F57</f>
        <v>193</v>
      </c>
      <c r="G57" s="364">
        <f>'68.50.50.01-rest dss'!G57+CPFA!G57</f>
        <v>93</v>
      </c>
      <c r="H57" s="364">
        <f>'68.50.50.01-rest dss'!H57+CPFA!H57</f>
        <v>100</v>
      </c>
      <c r="I57" s="364">
        <f>'68.50.50.01-rest dss'!I57+CPFA!I57</f>
        <v>0</v>
      </c>
      <c r="J57" s="364">
        <f>'68.50.50.01-rest dss'!J57+CPFA!J57</f>
        <v>0</v>
      </c>
      <c r="K57" s="57"/>
      <c r="L57" s="43"/>
      <c r="M57" s="771"/>
    </row>
    <row r="58" spans="1:13" s="4" customFormat="1" ht="12.75" customHeight="1" x14ac:dyDescent="0.2">
      <c r="A58" s="689">
        <v>48</v>
      </c>
      <c r="B58" s="74" t="s">
        <v>93</v>
      </c>
      <c r="C58" s="56" t="s">
        <v>94</v>
      </c>
      <c r="D58" s="363">
        <f>'68.50.50.01-rest dss'!D58+CPFA!D58</f>
        <v>0</v>
      </c>
      <c r="E58" s="363">
        <f>'68.50.50.01-rest dss'!E58+CPFA!E58</f>
        <v>0</v>
      </c>
      <c r="F58" s="364">
        <f>'68.50.50.01-rest dss'!F58+CPFA!F58</f>
        <v>45</v>
      </c>
      <c r="G58" s="364">
        <f>'68.50.50.01-rest dss'!G58+CPFA!G58</f>
        <v>12</v>
      </c>
      <c r="H58" s="364">
        <f>'68.50.50.01-rest dss'!H58+CPFA!H58</f>
        <v>12</v>
      </c>
      <c r="I58" s="364">
        <f>'68.50.50.01-rest dss'!I58+CPFA!I58</f>
        <v>12</v>
      </c>
      <c r="J58" s="364">
        <f>'68.50.50.01-rest dss'!J58+CPFA!J58</f>
        <v>9</v>
      </c>
      <c r="K58" s="57"/>
      <c r="L58" s="43"/>
      <c r="M58" s="771"/>
    </row>
    <row r="59" spans="1:13" s="4" customFormat="1" ht="12.75" customHeight="1" x14ac:dyDescent="0.2">
      <c r="A59" s="689">
        <v>49</v>
      </c>
      <c r="B59" s="55" t="s">
        <v>95</v>
      </c>
      <c r="C59" s="56" t="s">
        <v>96</v>
      </c>
      <c r="D59" s="363">
        <f>'68.50.50.01-rest dss'!D59+CPFA!D59</f>
        <v>0</v>
      </c>
      <c r="E59" s="363">
        <f>'68.50.50.01-rest dss'!E59+CPFA!E59</f>
        <v>0</v>
      </c>
      <c r="F59" s="364">
        <f>'68.50.50.01-rest dss'!F59+CPFA!F59</f>
        <v>18</v>
      </c>
      <c r="G59" s="364">
        <f>'68.50.50.01-rest dss'!G59+CPFA!G59</f>
        <v>14</v>
      </c>
      <c r="H59" s="364">
        <f>'68.50.50.01-rest dss'!H59+CPFA!H59</f>
        <v>4</v>
      </c>
      <c r="I59" s="364">
        <f>'68.50.50.01-rest dss'!I59+CPFA!I59</f>
        <v>0</v>
      </c>
      <c r="J59" s="364">
        <f>'68.50.50.01-rest dss'!J59+CPFA!J59</f>
        <v>0</v>
      </c>
      <c r="K59" s="57"/>
      <c r="L59" s="43"/>
      <c r="M59" s="771"/>
    </row>
    <row r="60" spans="1:13" s="4" customFormat="1" ht="12.75" hidden="1" customHeight="1" x14ac:dyDescent="0.2">
      <c r="A60" s="689">
        <v>50</v>
      </c>
      <c r="B60" s="59" t="s">
        <v>97</v>
      </c>
      <c r="C60" s="41" t="s">
        <v>98</v>
      </c>
      <c r="D60" s="363">
        <f>'68.50.50.01-rest dss'!D60+CPFA!D60</f>
        <v>0</v>
      </c>
      <c r="E60" s="363">
        <f>'68.50.50.01-rest dss'!E60+CPFA!E60</f>
        <v>0</v>
      </c>
      <c r="F60" s="364">
        <f>'68.50.50.01-rest dss'!F60+CPFA!F60</f>
        <v>0</v>
      </c>
      <c r="G60" s="364">
        <f>'68.50.50.01-rest dss'!G60+CPFA!G60</f>
        <v>0</v>
      </c>
      <c r="H60" s="364">
        <f>'68.50.50.01-rest dss'!H60+CPFA!H60</f>
        <v>0</v>
      </c>
      <c r="I60" s="364">
        <f>'68.50.50.01-rest dss'!I60+CPFA!I60</f>
        <v>0</v>
      </c>
      <c r="J60" s="364">
        <f>'68.50.50.01-rest dss'!J60+CPFA!J60</f>
        <v>0</v>
      </c>
      <c r="K60" s="45"/>
      <c r="L60" s="44"/>
      <c r="M60" s="711"/>
    </row>
    <row r="61" spans="1:13" s="4" customFormat="1" ht="12.75" customHeight="1" x14ac:dyDescent="0.2">
      <c r="A61" s="689">
        <v>51</v>
      </c>
      <c r="B61" s="59" t="s">
        <v>99</v>
      </c>
      <c r="C61" s="41" t="s">
        <v>100</v>
      </c>
      <c r="D61" s="363">
        <f>'68.50.50.01-rest dss'!D61+CPFA!D61</f>
        <v>0</v>
      </c>
      <c r="E61" s="363">
        <f>'68.50.50.01-rest dss'!E61+CPFA!E61</f>
        <v>0</v>
      </c>
      <c r="F61" s="365">
        <f>'68.50.50.01-rest dss'!F61+CPFA!F61</f>
        <v>6</v>
      </c>
      <c r="G61" s="365">
        <f>'68.50.50.01-rest dss'!G61+CPFA!G61</f>
        <v>6</v>
      </c>
      <c r="H61" s="365">
        <f>'68.50.50.01-rest dss'!H61+CPFA!H61</f>
        <v>0</v>
      </c>
      <c r="I61" s="365">
        <f>'68.50.50.01-rest dss'!I61+CPFA!I61</f>
        <v>0</v>
      </c>
      <c r="J61" s="365">
        <f>'68.50.50.01-rest dss'!J61+CPFA!J61</f>
        <v>0</v>
      </c>
      <c r="K61" s="45"/>
      <c r="L61" s="44"/>
      <c r="M61" s="711"/>
    </row>
    <row r="62" spans="1:13" s="4" customFormat="1" ht="12.75" customHeight="1" x14ac:dyDescent="0.2">
      <c r="A62" s="689">
        <v>52</v>
      </c>
      <c r="B62" s="59" t="s">
        <v>101</v>
      </c>
      <c r="C62" s="41" t="s">
        <v>102</v>
      </c>
      <c r="D62" s="363">
        <f>'68.50.50.01-rest dss'!D62+CPFA!D62</f>
        <v>0</v>
      </c>
      <c r="E62" s="363">
        <f>'68.50.50.01-rest dss'!E62+CPFA!E62</f>
        <v>0</v>
      </c>
      <c r="F62" s="365">
        <f>'68.50.50.01-rest dss'!F62+CPFA!F62</f>
        <v>12</v>
      </c>
      <c r="G62" s="365">
        <f>'68.50.50.01-rest dss'!G62+CPFA!G62</f>
        <v>8</v>
      </c>
      <c r="H62" s="365">
        <f>'68.50.50.01-rest dss'!H62+CPFA!H62</f>
        <v>4</v>
      </c>
      <c r="I62" s="365">
        <f>'68.50.50.01-rest dss'!I62+CPFA!I62</f>
        <v>0</v>
      </c>
      <c r="J62" s="365">
        <f>'68.50.50.01-rest dss'!J62+CPFA!J62</f>
        <v>0</v>
      </c>
      <c r="K62" s="45"/>
      <c r="L62" s="44"/>
      <c r="M62" s="711"/>
    </row>
    <row r="63" spans="1:13" s="4" customFormat="1" ht="12.75" hidden="1" customHeight="1" x14ac:dyDescent="0.2">
      <c r="A63" s="689">
        <v>53</v>
      </c>
      <c r="B63" s="59" t="s">
        <v>234</v>
      </c>
      <c r="C63" s="41" t="s">
        <v>102</v>
      </c>
      <c r="D63" s="363">
        <f>'68.50.50.01-rest dss'!D63+CPFA!D63</f>
        <v>0</v>
      </c>
      <c r="E63" s="363">
        <f>'68.50.50.01-rest dss'!E63+CPFA!E63</f>
        <v>0</v>
      </c>
      <c r="F63" s="365">
        <f>'68.50.50.01-rest dss'!F63+CPFA!F63</f>
        <v>0</v>
      </c>
      <c r="G63" s="365">
        <f>'68.50.50.01-rest dss'!G63+CPFA!G63</f>
        <v>0</v>
      </c>
      <c r="H63" s="365">
        <f>'68.50.50.01-rest dss'!H63+CPFA!H63</f>
        <v>0</v>
      </c>
      <c r="I63" s="365">
        <f>'68.50.50.01-rest dss'!I63+CPFA!I63</f>
        <v>0</v>
      </c>
      <c r="J63" s="365">
        <f>'68.50.50.01-rest dss'!J63+CPFA!J63</f>
        <v>0</v>
      </c>
      <c r="K63" s="45"/>
      <c r="L63" s="44"/>
      <c r="M63" s="711"/>
    </row>
    <row r="64" spans="1:13" s="4" customFormat="1" ht="12.75" customHeight="1" x14ac:dyDescent="0.2">
      <c r="A64" s="689">
        <v>54</v>
      </c>
      <c r="B64" s="76" t="s">
        <v>104</v>
      </c>
      <c r="C64" s="56" t="s">
        <v>105</v>
      </c>
      <c r="D64" s="363">
        <f>'68.50.50.01-rest dss'!D64+CPFA!D64</f>
        <v>0</v>
      </c>
      <c r="E64" s="363">
        <f>'68.50.50.01-rest dss'!E64+CPFA!E64</f>
        <v>0</v>
      </c>
      <c r="F64" s="364">
        <f>'68.50.50.01-rest dss'!F64+CPFA!F64</f>
        <v>221.30999999999997</v>
      </c>
      <c r="G64" s="364">
        <f>'68.50.50.01-rest dss'!G64+CPFA!G64</f>
        <v>58</v>
      </c>
      <c r="H64" s="364">
        <f>'68.50.50.01-rest dss'!H64+CPFA!H64</f>
        <v>156.31</v>
      </c>
      <c r="I64" s="364">
        <f>'68.50.50.01-rest dss'!I64+CPFA!I64</f>
        <v>7</v>
      </c>
      <c r="J64" s="364">
        <f>'68.50.50.01-rest dss'!J64+CPFA!J64</f>
        <v>0</v>
      </c>
      <c r="K64" s="57"/>
      <c r="L64" s="43"/>
      <c r="M64" s="771"/>
    </row>
    <row r="65" spans="1:13" s="4" customFormat="1" ht="12.75" customHeight="1" x14ac:dyDescent="0.2">
      <c r="A65" s="689">
        <v>55</v>
      </c>
      <c r="B65" s="59" t="s">
        <v>106</v>
      </c>
      <c r="C65" s="41" t="s">
        <v>107</v>
      </c>
      <c r="D65" s="363">
        <f>'68.50.50.01-rest dss'!D65+CPFA!D65</f>
        <v>0</v>
      </c>
      <c r="E65" s="363">
        <f>'68.50.50.01-rest dss'!E65+CPFA!E65</f>
        <v>0</v>
      </c>
      <c r="F65" s="365">
        <f>'68.50.50.01-rest dss'!F65+CPFA!F65</f>
        <v>34</v>
      </c>
      <c r="G65" s="365">
        <f>'68.50.50.01-rest dss'!G65+CPFA!G65</f>
        <v>20</v>
      </c>
      <c r="H65" s="365">
        <f>'68.50.50.01-rest dss'!H65+CPFA!H65</f>
        <v>7</v>
      </c>
      <c r="I65" s="365">
        <f>'68.50.50.01-rest dss'!I65+CPFA!I65</f>
        <v>7</v>
      </c>
      <c r="J65" s="365">
        <f>'68.50.50.01-rest dss'!J65+CPFA!J65</f>
        <v>0</v>
      </c>
      <c r="K65" s="57"/>
      <c r="L65" s="43"/>
      <c r="M65" s="771"/>
    </row>
    <row r="66" spans="1:13" s="4" customFormat="1" ht="12.75" customHeight="1" x14ac:dyDescent="0.2">
      <c r="A66" s="689">
        <v>56</v>
      </c>
      <c r="B66" s="59" t="s">
        <v>108</v>
      </c>
      <c r="C66" s="41" t="s">
        <v>109</v>
      </c>
      <c r="D66" s="363">
        <f>'68.50.50.01-rest dss'!D66+CPFA!D66</f>
        <v>0</v>
      </c>
      <c r="E66" s="363">
        <f>'68.50.50.01-rest dss'!E66+CPFA!E66</f>
        <v>0</v>
      </c>
      <c r="F66" s="365">
        <f>'68.50.50.01-rest dss'!F66+CPFA!F66</f>
        <v>23.7</v>
      </c>
      <c r="G66" s="365">
        <f>'68.50.50.01-rest dss'!G66+CPFA!G66</f>
        <v>3</v>
      </c>
      <c r="H66" s="365">
        <f>'68.50.50.01-rest dss'!H66+CPFA!H66</f>
        <v>20.7</v>
      </c>
      <c r="I66" s="365">
        <f>'68.50.50.01-rest dss'!I66+CPFA!I66</f>
        <v>0</v>
      </c>
      <c r="J66" s="365">
        <f>'68.50.50.01-rest dss'!J66+CPFA!J66</f>
        <v>0</v>
      </c>
      <c r="K66" s="45"/>
      <c r="L66" s="44"/>
      <c r="M66" s="711"/>
    </row>
    <row r="67" spans="1:13" s="4" customFormat="1" ht="12.75" customHeight="1" x14ac:dyDescent="0.2">
      <c r="A67" s="689">
        <v>57</v>
      </c>
      <c r="B67" s="59" t="s">
        <v>110</v>
      </c>
      <c r="C67" s="41" t="s">
        <v>111</v>
      </c>
      <c r="D67" s="363">
        <f>'68.50.50.01-rest dss'!D67+CPFA!D67</f>
        <v>0</v>
      </c>
      <c r="E67" s="363">
        <f>'68.50.50.01-rest dss'!E67+CPFA!E67</f>
        <v>0</v>
      </c>
      <c r="F67" s="365">
        <f>'68.50.50.01-rest dss'!F67+CPFA!F67</f>
        <v>163.60999999999999</v>
      </c>
      <c r="G67" s="365">
        <f>'68.50.50.01-rest dss'!G67+CPFA!G67</f>
        <v>35</v>
      </c>
      <c r="H67" s="365">
        <f>'68.50.50.01-rest dss'!H67+CPFA!H67</f>
        <v>128.60999999999999</v>
      </c>
      <c r="I67" s="365">
        <f>'68.50.50.01-rest dss'!I67+CPFA!I67</f>
        <v>0</v>
      </c>
      <c r="J67" s="365">
        <f>'68.50.50.01-rest dss'!J67+CPFA!J67</f>
        <v>0</v>
      </c>
      <c r="K67" s="45"/>
      <c r="L67" s="44"/>
      <c r="M67" s="711"/>
    </row>
    <row r="68" spans="1:13" s="4" customFormat="1" ht="12.75" hidden="1" customHeight="1" x14ac:dyDescent="0.2">
      <c r="A68" s="689">
        <v>58</v>
      </c>
      <c r="B68" s="59" t="s">
        <v>235</v>
      </c>
      <c r="C68" s="41"/>
      <c r="D68" s="363">
        <f>'68.50.50.01-rest dss'!D68+CPFA!D68</f>
        <v>0</v>
      </c>
      <c r="E68" s="363">
        <f>'68.50.50.01-rest dss'!E68+CPFA!E68</f>
        <v>0</v>
      </c>
      <c r="F68" s="365">
        <f>'68.50.50.01-rest dss'!F68+CPFA!F68</f>
        <v>0</v>
      </c>
      <c r="G68" s="365">
        <f>'68.50.50.01-rest dss'!G68+CPFA!G68</f>
        <v>0</v>
      </c>
      <c r="H68" s="365">
        <f>'68.50.50.01-rest dss'!H68+CPFA!H68</f>
        <v>0</v>
      </c>
      <c r="I68" s="365">
        <f>'68.50.50.01-rest dss'!I68+CPFA!I68</f>
        <v>0</v>
      </c>
      <c r="J68" s="365">
        <f>'68.50.50.01-rest dss'!J68+CPFA!J68</f>
        <v>0</v>
      </c>
      <c r="K68" s="45"/>
      <c r="L68" s="44"/>
      <c r="M68" s="711"/>
    </row>
    <row r="69" spans="1:13" s="4" customFormat="1" ht="12.75" customHeight="1" x14ac:dyDescent="0.2">
      <c r="A69" s="689">
        <v>59</v>
      </c>
      <c r="B69" s="77" t="s">
        <v>113</v>
      </c>
      <c r="C69" s="56" t="s">
        <v>114</v>
      </c>
      <c r="D69" s="363">
        <f>'68.50.50.01-rest dss'!D69+CPFA!D69</f>
        <v>0</v>
      </c>
      <c r="E69" s="363">
        <f>'68.50.50.01-rest dss'!E69+CPFA!E69</f>
        <v>0</v>
      </c>
      <c r="F69" s="364">
        <f>'68.50.50.01-rest dss'!F69+CPFA!F69</f>
        <v>39</v>
      </c>
      <c r="G69" s="364">
        <f>'68.50.50.01-rest dss'!G69+CPFA!G69</f>
        <v>10</v>
      </c>
      <c r="H69" s="364">
        <f>'68.50.50.01-rest dss'!H69+CPFA!H69</f>
        <v>10</v>
      </c>
      <c r="I69" s="364">
        <f>'68.50.50.01-rest dss'!I69+CPFA!I69</f>
        <v>10</v>
      </c>
      <c r="J69" s="364">
        <f>'68.50.50.01-rest dss'!J69+CPFA!J69</f>
        <v>9</v>
      </c>
      <c r="K69" s="57"/>
      <c r="L69" s="43"/>
      <c r="M69" s="771"/>
    </row>
    <row r="70" spans="1:13" s="4" customFormat="1" ht="12.75" customHeight="1" x14ac:dyDescent="0.2">
      <c r="A70" s="689">
        <v>60</v>
      </c>
      <c r="B70" s="59" t="s">
        <v>115</v>
      </c>
      <c r="C70" s="41" t="s">
        <v>116</v>
      </c>
      <c r="D70" s="363">
        <f>'68.50.50.01-rest dss'!D70+CPFA!D70</f>
        <v>0</v>
      </c>
      <c r="E70" s="363">
        <f>'68.50.50.01-rest dss'!E70+CPFA!E70</f>
        <v>0</v>
      </c>
      <c r="F70" s="365">
        <f>'68.50.50.01-rest dss'!F70+CPFA!F70</f>
        <v>39</v>
      </c>
      <c r="G70" s="365">
        <f>'68.50.50.01-rest dss'!G70+CPFA!G70</f>
        <v>10</v>
      </c>
      <c r="H70" s="365">
        <f>'68.50.50.01-rest dss'!H70+CPFA!H70</f>
        <v>10</v>
      </c>
      <c r="I70" s="365">
        <f>'68.50.50.01-rest dss'!I70+CPFA!I70</f>
        <v>10</v>
      </c>
      <c r="J70" s="365">
        <f>'68.50.50.01-rest dss'!J70+CPFA!J70</f>
        <v>9</v>
      </c>
      <c r="K70" s="45"/>
      <c r="L70" s="44"/>
      <c r="M70" s="711"/>
    </row>
    <row r="71" spans="1:13" s="4" customFormat="1" ht="12.75" customHeight="1" x14ac:dyDescent="0.2">
      <c r="A71" s="689">
        <v>61</v>
      </c>
      <c r="B71" s="59" t="s">
        <v>117</v>
      </c>
      <c r="C71" s="41" t="s">
        <v>118</v>
      </c>
      <c r="D71" s="363">
        <f>'68.50.50.01-rest dss'!D71+CPFA!D71</f>
        <v>0</v>
      </c>
      <c r="E71" s="363">
        <f>'68.50.50.01-rest dss'!E71+CPFA!E71</f>
        <v>0</v>
      </c>
      <c r="F71" s="365">
        <f>'68.50.50.01-rest dss'!F71+CPFA!F71</f>
        <v>0</v>
      </c>
      <c r="G71" s="365">
        <f>'68.50.50.01-rest dss'!G71+CPFA!G71</f>
        <v>0</v>
      </c>
      <c r="H71" s="365">
        <f>'68.50.50.01-rest dss'!H71+CPFA!H71</f>
        <v>0</v>
      </c>
      <c r="I71" s="365">
        <f>'68.50.50.01-rest dss'!I71+CPFA!I71</f>
        <v>0</v>
      </c>
      <c r="J71" s="365">
        <f>'68.50.50.01-rest dss'!J71+CPFA!J71</f>
        <v>0</v>
      </c>
      <c r="K71" s="45"/>
      <c r="L71" s="44"/>
      <c r="M71" s="711"/>
    </row>
    <row r="72" spans="1:13" s="4" customFormat="1" ht="12.75" hidden="1" customHeight="1" x14ac:dyDescent="0.2">
      <c r="A72" s="689">
        <v>62</v>
      </c>
      <c r="B72" s="55" t="s">
        <v>119</v>
      </c>
      <c r="C72" s="56" t="s">
        <v>120</v>
      </c>
      <c r="D72" s="363">
        <f>'68.50.50.01-rest dss'!D72+CPFA!D72</f>
        <v>0</v>
      </c>
      <c r="E72" s="363">
        <f>'68.50.50.01-rest dss'!E72+CPFA!E72</f>
        <v>0</v>
      </c>
      <c r="F72" s="364">
        <f>'68.50.50.01-rest dss'!F72+CPFA!F72</f>
        <v>0</v>
      </c>
      <c r="G72" s="364">
        <f>'68.50.50.01-rest dss'!G72+CPFA!G72</f>
        <v>0</v>
      </c>
      <c r="H72" s="364">
        <f>'68.50.50.01-rest dss'!H72+CPFA!H72</f>
        <v>0</v>
      </c>
      <c r="I72" s="364">
        <f>'68.50.50.01-rest dss'!I72+CPFA!I72</f>
        <v>0</v>
      </c>
      <c r="J72" s="364">
        <f>'68.50.50.01-rest dss'!J72+CPFA!J72</f>
        <v>0</v>
      </c>
      <c r="K72" s="57"/>
      <c r="L72" s="43"/>
      <c r="M72" s="771"/>
    </row>
    <row r="73" spans="1:13" s="4" customFormat="1" ht="12.75" customHeight="1" x14ac:dyDescent="0.2">
      <c r="A73" s="689">
        <v>63</v>
      </c>
      <c r="B73" s="55" t="s">
        <v>121</v>
      </c>
      <c r="C73" s="56" t="s">
        <v>122</v>
      </c>
      <c r="D73" s="363">
        <f>'68.50.50.01-rest dss'!D73+CPFA!D73</f>
        <v>0</v>
      </c>
      <c r="E73" s="363">
        <f>'68.50.50.01-rest dss'!E73+CPFA!E73</f>
        <v>0</v>
      </c>
      <c r="F73" s="364">
        <f>'68.50.50.01-rest dss'!F73+CPFA!F73</f>
        <v>40</v>
      </c>
      <c r="G73" s="364">
        <f>'68.50.50.01-rest dss'!G73+CPFA!G73</f>
        <v>16</v>
      </c>
      <c r="H73" s="364">
        <f>'68.50.50.01-rest dss'!H73+CPFA!H73</f>
        <v>15</v>
      </c>
      <c r="I73" s="364">
        <f>'68.50.50.01-rest dss'!I73+CPFA!I73</f>
        <v>6</v>
      </c>
      <c r="J73" s="364">
        <f>'68.50.50.01-rest dss'!J73+CPFA!J73</f>
        <v>3</v>
      </c>
      <c r="K73" s="57"/>
      <c r="L73" s="43"/>
      <c r="M73" s="771"/>
    </row>
    <row r="74" spans="1:13" s="4" customFormat="1" ht="12.75" customHeight="1" x14ac:dyDescent="0.2">
      <c r="A74" s="689">
        <v>64</v>
      </c>
      <c r="B74" s="55" t="s">
        <v>123</v>
      </c>
      <c r="C74" s="56" t="s">
        <v>124</v>
      </c>
      <c r="D74" s="363">
        <f>'68.50.50.01-rest dss'!D74+CPFA!D74</f>
        <v>0</v>
      </c>
      <c r="E74" s="363">
        <f>'68.50.50.01-rest dss'!E74+CPFA!E74</f>
        <v>0</v>
      </c>
      <c r="F74" s="364">
        <f>'68.50.50.01-rest dss'!F74+CPFA!F74</f>
        <v>125</v>
      </c>
      <c r="G74" s="364">
        <f>'68.50.50.01-rest dss'!G74+CPFA!G74</f>
        <v>53</v>
      </c>
      <c r="H74" s="364">
        <f>'68.50.50.01-rest dss'!H74+CPFA!H74</f>
        <v>40</v>
      </c>
      <c r="I74" s="364">
        <f>'68.50.50.01-rest dss'!I74+CPFA!I74</f>
        <v>15</v>
      </c>
      <c r="J74" s="364">
        <f>'68.50.50.01-rest dss'!J74+CPFA!J74</f>
        <v>17</v>
      </c>
      <c r="K74" s="57"/>
      <c r="L74" s="43"/>
      <c r="M74" s="771"/>
    </row>
    <row r="75" spans="1:13" s="4" customFormat="1" ht="12.75" customHeight="1" x14ac:dyDescent="0.2">
      <c r="A75" s="689">
        <v>65</v>
      </c>
      <c r="B75" s="55" t="s">
        <v>125</v>
      </c>
      <c r="C75" s="56" t="s">
        <v>126</v>
      </c>
      <c r="D75" s="363">
        <f>'68.50.50.01-rest dss'!D75+CPFA!D75</f>
        <v>0</v>
      </c>
      <c r="E75" s="363">
        <f>'68.50.50.01-rest dss'!E75+CPFA!E75</f>
        <v>0</v>
      </c>
      <c r="F75" s="364">
        <f>'68.50.50.01-rest dss'!F75+CPFA!F75</f>
        <v>0</v>
      </c>
      <c r="G75" s="364">
        <f>'68.50.50.01-rest dss'!G75+CPFA!G75</f>
        <v>0</v>
      </c>
      <c r="H75" s="364">
        <f>'68.50.50.01-rest dss'!H75+CPFA!H75</f>
        <v>0</v>
      </c>
      <c r="I75" s="364">
        <f>'68.50.50.01-rest dss'!I75+CPFA!I75</f>
        <v>0</v>
      </c>
      <c r="J75" s="364">
        <f>'68.50.50.01-rest dss'!J75+CPFA!J75</f>
        <v>0</v>
      </c>
      <c r="K75" s="57"/>
      <c r="L75" s="43"/>
      <c r="M75" s="771"/>
    </row>
    <row r="76" spans="1:13" s="4" customFormat="1" ht="12.75" customHeight="1" x14ac:dyDescent="0.2">
      <c r="A76" s="689">
        <v>66</v>
      </c>
      <c r="B76" s="55" t="s">
        <v>127</v>
      </c>
      <c r="C76" s="56" t="s">
        <v>128</v>
      </c>
      <c r="D76" s="363">
        <f>'68.50.50.01-rest dss'!D76+CPFA!D76</f>
        <v>0</v>
      </c>
      <c r="E76" s="363">
        <f>'68.50.50.01-rest dss'!E76+CPFA!E76</f>
        <v>0</v>
      </c>
      <c r="F76" s="364">
        <f>'68.50.50.01-rest dss'!F76+CPFA!F76</f>
        <v>3305</v>
      </c>
      <c r="G76" s="364">
        <f>'68.50.50.01-rest dss'!G76+CPFA!G76</f>
        <v>183</v>
      </c>
      <c r="H76" s="364">
        <f>'68.50.50.01-rest dss'!H76+CPFA!H76</f>
        <v>839</v>
      </c>
      <c r="I76" s="364">
        <f>'68.50.50.01-rest dss'!I76+CPFA!I76</f>
        <v>1163</v>
      </c>
      <c r="J76" s="364">
        <f>'68.50.50.01-rest dss'!J76+CPFA!J76</f>
        <v>1120</v>
      </c>
      <c r="K76" s="57"/>
      <c r="L76" s="43"/>
      <c r="M76" s="771"/>
    </row>
    <row r="77" spans="1:13" s="4" customFormat="1" ht="12.75" customHeight="1" x14ac:dyDescent="0.2">
      <c r="A77" s="689">
        <v>67</v>
      </c>
      <c r="B77" s="59" t="s">
        <v>129</v>
      </c>
      <c r="C77" s="41" t="s">
        <v>130</v>
      </c>
      <c r="D77" s="367">
        <f>'68.50.50.01-rest dss'!D77+CPFA!D77</f>
        <v>0</v>
      </c>
      <c r="E77" s="367">
        <f>'68.50.50.01-rest dss'!E77+CPFA!E77</f>
        <v>0</v>
      </c>
      <c r="F77" s="365">
        <f>'68.50.50.01-rest dss'!F77+CPFA!F77</f>
        <v>7</v>
      </c>
      <c r="G77" s="365">
        <f>'68.50.50.01-rest dss'!G77+CPFA!G77</f>
        <v>3</v>
      </c>
      <c r="H77" s="365">
        <f>'68.50.50.01-rest dss'!H77+CPFA!H77</f>
        <v>2</v>
      </c>
      <c r="I77" s="365">
        <f>'68.50.50.01-rest dss'!I77+CPFA!I77</f>
        <v>2</v>
      </c>
      <c r="J77" s="365">
        <f>'68.50.50.01-rest dss'!J77+CPFA!J77</f>
        <v>0</v>
      </c>
      <c r="K77" s="57"/>
      <c r="L77" s="43"/>
      <c r="M77" s="771"/>
    </row>
    <row r="78" spans="1:13" s="4" customFormat="1" ht="12.75" customHeight="1" x14ac:dyDescent="0.2">
      <c r="A78" s="689">
        <v>68</v>
      </c>
      <c r="B78" s="59" t="s">
        <v>131</v>
      </c>
      <c r="C78" s="56" t="s">
        <v>132</v>
      </c>
      <c r="D78" s="363">
        <f>'68.50.50.01-rest dss'!D78+CPFA!D78</f>
        <v>0</v>
      </c>
      <c r="E78" s="363">
        <f>'68.50.50.01-rest dss'!E78+CPFA!E78</f>
        <v>0</v>
      </c>
      <c r="F78" s="364">
        <f>'68.50.50.01-rest dss'!F78+CPFA!F78</f>
        <v>3298</v>
      </c>
      <c r="G78" s="364">
        <f>'68.50.50.01-rest dss'!G78+CPFA!G78</f>
        <v>180</v>
      </c>
      <c r="H78" s="364">
        <f>'68.50.50.01-rest dss'!H78+CPFA!H78</f>
        <v>837</v>
      </c>
      <c r="I78" s="364">
        <f>'68.50.50.01-rest dss'!I78+CPFA!I78</f>
        <v>1161</v>
      </c>
      <c r="J78" s="364">
        <f>'68.50.50.01-rest dss'!J78+CPFA!J78</f>
        <v>1120</v>
      </c>
      <c r="K78" s="45">
        <f>K79+K80+K81+K82</f>
        <v>0</v>
      </c>
      <c r="L78" s="44">
        <f>L79+L80+L81+L82</f>
        <v>0</v>
      </c>
      <c r="M78" s="711">
        <f>M79+M80+M81+M82</f>
        <v>0</v>
      </c>
    </row>
    <row r="79" spans="1:13" s="4" customFormat="1" ht="12.75" customHeight="1" x14ac:dyDescent="0.2">
      <c r="A79" s="689">
        <v>69</v>
      </c>
      <c r="B79" s="59" t="s">
        <v>268</v>
      </c>
      <c r="C79" s="41"/>
      <c r="D79" s="363">
        <f>'68.50.50.01-rest dss'!D79+CPFA!D79</f>
        <v>0</v>
      </c>
      <c r="E79" s="363">
        <f>'68.50.50.01-rest dss'!E79+CPFA!E79</f>
        <v>0</v>
      </c>
      <c r="F79" s="364">
        <f>'68.50.50.01-rest dss'!F79+CPFA!F79</f>
        <v>320</v>
      </c>
      <c r="G79" s="364">
        <f>'68.50.50.01-rest dss'!G79+CPFA!G79</f>
        <v>130</v>
      </c>
      <c r="H79" s="364">
        <f>'68.50.50.01-rest dss'!H79+CPFA!H79</f>
        <v>78</v>
      </c>
      <c r="I79" s="364">
        <f>'68.50.50.01-rest dss'!I79+CPFA!I79</f>
        <v>61</v>
      </c>
      <c r="J79" s="364">
        <f>'68.50.50.01-rest dss'!J79+CPFA!J79</f>
        <v>51</v>
      </c>
      <c r="K79" s="45"/>
      <c r="L79" s="44"/>
      <c r="M79" s="711"/>
    </row>
    <row r="80" spans="1:13" s="4" customFormat="1" ht="25.5" customHeight="1" x14ac:dyDescent="0.2">
      <c r="A80" s="689">
        <v>70</v>
      </c>
      <c r="B80" s="60" t="s">
        <v>269</v>
      </c>
      <c r="C80" s="41"/>
      <c r="D80" s="363">
        <f>'68.50.50.01-rest dss'!D80+CPFA!D80</f>
        <v>0</v>
      </c>
      <c r="E80" s="363">
        <f>'68.50.50.01-rest dss'!E80+CPFA!E80</f>
        <v>0</v>
      </c>
      <c r="F80" s="365">
        <f>'68.50.50.01-rest dss'!F80+CPFA!F80</f>
        <v>49</v>
      </c>
      <c r="G80" s="365">
        <f>'68.50.50.01-rest dss'!G80+CPFA!G80</f>
        <v>20</v>
      </c>
      <c r="H80" s="365">
        <f>'68.50.50.01-rest dss'!H80+CPFA!H80</f>
        <v>15</v>
      </c>
      <c r="I80" s="365">
        <f>'68.50.50.01-rest dss'!I80+CPFA!I80</f>
        <v>10</v>
      </c>
      <c r="J80" s="365">
        <f>'68.50.50.01-rest dss'!J80+CPFA!J80</f>
        <v>4</v>
      </c>
      <c r="K80" s="45"/>
      <c r="L80" s="44"/>
      <c r="M80" s="711"/>
    </row>
    <row r="81" spans="1:14" s="4" customFormat="1" ht="12.75" customHeight="1" x14ac:dyDescent="0.2">
      <c r="A81" s="689">
        <v>71</v>
      </c>
      <c r="B81" s="59" t="s">
        <v>342</v>
      </c>
      <c r="C81" s="41"/>
      <c r="D81" s="363">
        <f>'68.50.50.01-rest dss'!D81+CPFA!D81</f>
        <v>0</v>
      </c>
      <c r="E81" s="363">
        <f>'68.50.50.01-rest dss'!E81+CPFA!E81</f>
        <v>0</v>
      </c>
      <c r="F81" s="365">
        <f>'68.50.50.01-rest dss'!F81+CPFA!F81</f>
        <v>36</v>
      </c>
      <c r="G81" s="365">
        <f>'68.50.50.01-rest dss'!G81+CPFA!G81</f>
        <v>27</v>
      </c>
      <c r="H81" s="365">
        <f>'68.50.50.01-rest dss'!H81+CPFA!H81</f>
        <v>9</v>
      </c>
      <c r="I81" s="365">
        <f>'68.50.50.01-rest dss'!I81+CPFA!I81</f>
        <v>0</v>
      </c>
      <c r="J81" s="365">
        <f>'68.50.50.01-rest dss'!J81+CPFA!J81</f>
        <v>0</v>
      </c>
      <c r="K81" s="45"/>
      <c r="L81" s="44"/>
      <c r="M81" s="711"/>
    </row>
    <row r="82" spans="1:14" s="4" customFormat="1" ht="40.9" customHeight="1" x14ac:dyDescent="0.2">
      <c r="A82" s="689">
        <v>72</v>
      </c>
      <c r="B82" s="60" t="s">
        <v>378</v>
      </c>
      <c r="C82" s="41"/>
      <c r="D82" s="363">
        <f>'68.50.50.01-rest dss'!D82+CPFA!D82</f>
        <v>0</v>
      </c>
      <c r="E82" s="363">
        <f>'68.50.50.01-rest dss'!E82+CPFA!E82</f>
        <v>0</v>
      </c>
      <c r="F82" s="365">
        <f>'68.50.50.01-rest dss'!F82+CPFA!F82</f>
        <v>2890</v>
      </c>
      <c r="G82" s="365">
        <f>'68.50.50.01-rest dss'!G82+CPFA!G82</f>
        <v>0</v>
      </c>
      <c r="H82" s="365">
        <f>'68.50.50.01-rest dss'!H82+CPFA!H82</f>
        <v>735</v>
      </c>
      <c r="I82" s="365">
        <f>'68.50.50.01-rest dss'!I82+CPFA!I82</f>
        <v>1090</v>
      </c>
      <c r="J82" s="365">
        <f>'68.50.50.01-rest dss'!J82+CPFA!J82</f>
        <v>1065</v>
      </c>
      <c r="K82" s="45"/>
      <c r="L82" s="44"/>
      <c r="M82" s="711"/>
    </row>
    <row r="83" spans="1:14" s="4" customFormat="1" ht="12.75" customHeight="1" x14ac:dyDescent="0.2">
      <c r="A83" s="689">
        <v>73</v>
      </c>
      <c r="B83" s="59" t="s">
        <v>362</v>
      </c>
      <c r="C83" s="41"/>
      <c r="D83" s="363">
        <f>'68.50.50.01-rest dss'!D83+CPFA!D83</f>
        <v>0</v>
      </c>
      <c r="E83" s="363">
        <f>'68.50.50.01-rest dss'!E83+CPFA!E83</f>
        <v>0</v>
      </c>
      <c r="F83" s="365">
        <f>'68.50.50.01-rest dss'!F83+CPFA!F83</f>
        <v>3</v>
      </c>
      <c r="G83" s="365">
        <f>'68.50.50.01-rest dss'!G83+CPFA!G83</f>
        <v>3</v>
      </c>
      <c r="H83" s="365">
        <f>'68.50.50.01-rest dss'!H83+CPFA!H83</f>
        <v>0</v>
      </c>
      <c r="I83" s="365">
        <f>'68.50.50.01-rest dss'!I83+CPFA!I83</f>
        <v>0</v>
      </c>
      <c r="J83" s="365">
        <f>'68.50.50.01-rest dss'!J83+CPFA!J83</f>
        <v>0</v>
      </c>
      <c r="K83" s="45"/>
      <c r="L83" s="44"/>
      <c r="M83" s="711"/>
    </row>
    <row r="84" spans="1:14" s="4" customFormat="1" ht="12.75" hidden="1" customHeight="1" x14ac:dyDescent="0.2">
      <c r="A84" s="689">
        <v>74</v>
      </c>
      <c r="B84" s="90" t="s">
        <v>349</v>
      </c>
      <c r="C84" s="41"/>
      <c r="D84" s="363">
        <f>'68.50.50.01-rest dss'!D84+CPFA!D84</f>
        <v>0</v>
      </c>
      <c r="E84" s="363">
        <f>'68.50.50.01-rest dss'!E84+CPFA!E84</f>
        <v>0</v>
      </c>
      <c r="F84" s="365">
        <f>'68.50.50.01-rest dss'!F84+CPFA!F84</f>
        <v>0</v>
      </c>
      <c r="G84" s="365">
        <f>'68.50.50.01-rest dss'!G84+CPFA!G84</f>
        <v>0</v>
      </c>
      <c r="H84" s="365">
        <f>'68.50.50.01-rest dss'!H84+CPFA!H84</f>
        <v>0</v>
      </c>
      <c r="I84" s="365">
        <f>'68.50.50.01-rest dss'!I84+CPFA!I84</f>
        <v>0</v>
      </c>
      <c r="J84" s="365">
        <f>'68.50.50.01-rest dss'!J84+CPFA!J84</f>
        <v>0</v>
      </c>
      <c r="K84" s="45"/>
      <c r="L84" s="44"/>
      <c r="M84" s="711"/>
      <c r="N84" s="51"/>
    </row>
    <row r="85" spans="1:14" s="4" customFormat="1" ht="12.75" hidden="1" customHeight="1" x14ac:dyDescent="0.2">
      <c r="A85" s="689">
        <v>75</v>
      </c>
      <c r="B85" s="90" t="s">
        <v>136</v>
      </c>
      <c r="C85" s="41"/>
      <c r="D85" s="363">
        <f>'68.50.50.01-rest dss'!D85+CPFA!D85</f>
        <v>0</v>
      </c>
      <c r="E85" s="363">
        <f>'68.50.50.01-rest dss'!E85+CPFA!E85</f>
        <v>0</v>
      </c>
      <c r="F85" s="365">
        <f>'68.50.50.01-rest dss'!F85+CPFA!F85</f>
        <v>0</v>
      </c>
      <c r="G85" s="365">
        <f>'68.50.50.01-rest dss'!G85+CPFA!G85</f>
        <v>0</v>
      </c>
      <c r="H85" s="365">
        <f>'68.50.50.01-rest dss'!H85+CPFA!H85</f>
        <v>0</v>
      </c>
      <c r="I85" s="365">
        <f>'68.50.50.01-rest dss'!I85+CPFA!I85</f>
        <v>0</v>
      </c>
      <c r="J85" s="365">
        <f>'68.50.50.01-rest dss'!J85+CPFA!J85</f>
        <v>0</v>
      </c>
      <c r="K85" s="45"/>
      <c r="L85" s="44"/>
      <c r="M85" s="711"/>
    </row>
    <row r="86" spans="1:14" s="4" customFormat="1" ht="12.75" hidden="1" customHeight="1" x14ac:dyDescent="0.2">
      <c r="A86" s="689">
        <v>76</v>
      </c>
      <c r="B86" s="90" t="s">
        <v>137</v>
      </c>
      <c r="C86" s="41"/>
      <c r="D86" s="363">
        <f>'68.50.50.01-rest dss'!D86+CPFA!D86</f>
        <v>0</v>
      </c>
      <c r="E86" s="363">
        <f>'68.50.50.01-rest dss'!E86+CPFA!E86</f>
        <v>0</v>
      </c>
      <c r="F86" s="365">
        <f>'68.50.50.01-rest dss'!F86+CPFA!F86</f>
        <v>0</v>
      </c>
      <c r="G86" s="365">
        <f>'68.50.50.01-rest dss'!G86+CPFA!G86</f>
        <v>0</v>
      </c>
      <c r="H86" s="365">
        <f>'68.50.50.01-rest dss'!H86+CPFA!H86</f>
        <v>0</v>
      </c>
      <c r="I86" s="365">
        <f>'68.50.50.01-rest dss'!I86+CPFA!I86</f>
        <v>0</v>
      </c>
      <c r="J86" s="365">
        <f>'68.50.50.01-rest dss'!J86+CPFA!J86</f>
        <v>0</v>
      </c>
      <c r="K86" s="45"/>
      <c r="L86" s="44"/>
      <c r="M86" s="711"/>
    </row>
    <row r="87" spans="1:14" s="4" customFormat="1" ht="12.75" hidden="1" customHeight="1" x14ac:dyDescent="0.2">
      <c r="A87" s="689">
        <v>77</v>
      </c>
      <c r="B87" s="90" t="s">
        <v>138</v>
      </c>
      <c r="C87" s="41"/>
      <c r="D87" s="363"/>
      <c r="E87" s="363"/>
      <c r="F87" s="365"/>
      <c r="G87" s="365"/>
      <c r="H87" s="365"/>
      <c r="I87" s="365"/>
      <c r="J87" s="365"/>
      <c r="K87" s="45"/>
      <c r="L87" s="44"/>
      <c r="M87" s="711"/>
    </row>
    <row r="88" spans="1:14" s="4" customFormat="1" ht="13.35" hidden="1" customHeight="1" x14ac:dyDescent="0.2">
      <c r="A88" s="689">
        <v>78</v>
      </c>
      <c r="B88" s="100" t="s">
        <v>140</v>
      </c>
      <c r="C88" s="56" t="s">
        <v>141</v>
      </c>
      <c r="D88" s="363">
        <f>'68.50.50.01-rest dss'!D88+CPFA!D88</f>
        <v>0</v>
      </c>
      <c r="E88" s="363">
        <f>'68.50.50.01-rest dss'!E88+CPFA!E88</f>
        <v>0</v>
      </c>
      <c r="F88" s="364">
        <f>'68.50.50.01-rest dss'!F88+CPFA!F88</f>
        <v>0</v>
      </c>
      <c r="G88" s="364">
        <f>'68.50.50.01-rest dss'!G88+CPFA!G88</f>
        <v>0</v>
      </c>
      <c r="H88" s="364">
        <f>'68.50.50.01-rest dss'!H88+CPFA!H88</f>
        <v>0</v>
      </c>
      <c r="I88" s="365">
        <f>'68.50.50.01-rest dss'!I88+CPFA!I88</f>
        <v>0</v>
      </c>
      <c r="J88" s="365">
        <f>'68.50.50.01-rest dss'!J88+CPFA!J88</f>
        <v>0</v>
      </c>
      <c r="K88" s="57"/>
      <c r="L88" s="43"/>
      <c r="M88" s="771"/>
    </row>
    <row r="89" spans="1:14" s="4" customFormat="1" ht="38.25" hidden="1" customHeight="1" x14ac:dyDescent="0.2">
      <c r="A89" s="689">
        <v>79</v>
      </c>
      <c r="B89" s="100" t="s">
        <v>142</v>
      </c>
      <c r="C89" s="101" t="s">
        <v>143</v>
      </c>
      <c r="D89" s="363">
        <f>'68.50.50.01-rest dss'!D89+CPFA!D89</f>
        <v>0</v>
      </c>
      <c r="E89" s="363">
        <f>'68.50.50.01-rest dss'!E89+CPFA!E89</f>
        <v>0</v>
      </c>
      <c r="F89" s="364">
        <f>'68.50.50.01-rest dss'!F89+CPFA!F89</f>
        <v>0</v>
      </c>
      <c r="G89" s="364">
        <f>'68.50.50.01-rest dss'!G89+CPFA!G89</f>
        <v>0</v>
      </c>
      <c r="H89" s="364">
        <f>'68.50.50.01-rest dss'!H89+CPFA!H89</f>
        <v>0</v>
      </c>
      <c r="I89" s="365">
        <f>'68.50.50.01-rest dss'!I89+CPFA!I89</f>
        <v>0</v>
      </c>
      <c r="J89" s="365">
        <f>'68.50.50.01-rest dss'!J89+CPFA!J89</f>
        <v>0</v>
      </c>
      <c r="K89" s="57"/>
      <c r="L89" s="43"/>
      <c r="M89" s="771"/>
    </row>
    <row r="90" spans="1:14" s="4" customFormat="1" ht="13.5" hidden="1" customHeight="1" thickBot="1" x14ac:dyDescent="0.25">
      <c r="A90" s="689">
        <v>80</v>
      </c>
      <c r="B90" s="106" t="s">
        <v>144</v>
      </c>
      <c r="C90" s="81" t="s">
        <v>145</v>
      </c>
      <c r="D90" s="363">
        <f>'68.50.50.01-rest dss'!D90+CPFA!D90</f>
        <v>0</v>
      </c>
      <c r="E90" s="363">
        <f>'68.50.50.01-rest dss'!E90+CPFA!E90</f>
        <v>0</v>
      </c>
      <c r="F90" s="364">
        <f>'68.50.50.01-rest dss'!F90+CPFA!F90</f>
        <v>0</v>
      </c>
      <c r="G90" s="364">
        <f>'68.50.50.01-rest dss'!G90+CPFA!G90</f>
        <v>0</v>
      </c>
      <c r="H90" s="364">
        <f>'68.50.50.01-rest dss'!H90+CPFA!H90</f>
        <v>0</v>
      </c>
      <c r="I90" s="365">
        <f>'68.50.50.01-rest dss'!I90+CPFA!I90</f>
        <v>0</v>
      </c>
      <c r="J90" s="365">
        <f>'68.50.50.01-rest dss'!J90+CPFA!J90</f>
        <v>0</v>
      </c>
      <c r="K90" s="66"/>
      <c r="L90" s="65"/>
      <c r="M90" s="842"/>
    </row>
    <row r="91" spans="1:14" s="4" customFormat="1" ht="12.75" hidden="1" customHeight="1" x14ac:dyDescent="0.2">
      <c r="A91" s="689">
        <v>81</v>
      </c>
      <c r="B91" s="35" t="s">
        <v>146</v>
      </c>
      <c r="C91" s="69" t="s">
        <v>147</v>
      </c>
      <c r="D91" s="363">
        <f>'68.50.50.01-rest dss'!D91+CPFA!D91</f>
        <v>0</v>
      </c>
      <c r="E91" s="363">
        <f>'68.50.50.01-rest dss'!E91+CPFA!E91</f>
        <v>0</v>
      </c>
      <c r="F91" s="364">
        <f>'68.50.50.01-rest dss'!F91+CPFA!F91</f>
        <v>0</v>
      </c>
      <c r="G91" s="364">
        <f>'68.50.50.01-rest dss'!G91+CPFA!G91</f>
        <v>0</v>
      </c>
      <c r="H91" s="364">
        <f>'68.50.50.01-rest dss'!H91+CPFA!H91</f>
        <v>0</v>
      </c>
      <c r="I91" s="365">
        <f>'68.50.50.01-rest dss'!I91+CPFA!I91</f>
        <v>0</v>
      </c>
      <c r="J91" s="365">
        <f>'68.50.50.01-rest dss'!J91+CPFA!J91</f>
        <v>0</v>
      </c>
      <c r="K91" s="368"/>
      <c r="L91" s="369"/>
      <c r="M91" s="882"/>
    </row>
    <row r="92" spans="1:14" s="4" customFormat="1" ht="12.75" customHeight="1" x14ac:dyDescent="0.2">
      <c r="A92" s="689">
        <v>82</v>
      </c>
      <c r="B92" s="55" t="s">
        <v>148</v>
      </c>
      <c r="C92" s="56" t="s">
        <v>149</v>
      </c>
      <c r="D92" s="363">
        <f>'68.50.50.01-rest dss'!D92+CPFA!D92</f>
        <v>0</v>
      </c>
      <c r="E92" s="363">
        <f>'68.50.50.01-rest dss'!E92+CPFA!E92</f>
        <v>0</v>
      </c>
      <c r="F92" s="364">
        <f>'68.50.50.01-rest dss'!F92+CPFA!F92</f>
        <v>8319</v>
      </c>
      <c r="G92" s="364">
        <f>'68.50.50.01-rest dss'!G92+CPFA!G92</f>
        <v>2747</v>
      </c>
      <c r="H92" s="364">
        <f>'68.50.50.01-rest dss'!H92+CPFA!H92</f>
        <v>1173</v>
      </c>
      <c r="I92" s="364">
        <f>'68.50.50.01-rest dss'!I92+CPFA!I92</f>
        <v>1731</v>
      </c>
      <c r="J92" s="364">
        <f>'68.50.50.01-rest dss'!J92+CPFA!J92</f>
        <v>2668</v>
      </c>
      <c r="K92" s="57">
        <f>'68.50.50.01-rest dss'!K92+CPFA!K92</f>
        <v>8418.8279999999995</v>
      </c>
      <c r="L92" s="43">
        <f>'68.50.50.01-rest dss'!L92+CPFA!L92</f>
        <v>8442.9530999999988</v>
      </c>
      <c r="M92" s="771">
        <f>'68.50.50.01-rest dss'!M92+CPFA!M92</f>
        <v>8468.7420000000002</v>
      </c>
    </row>
    <row r="93" spans="1:14" s="4" customFormat="1" ht="12.75" customHeight="1" x14ac:dyDescent="0.2">
      <c r="A93" s="689">
        <v>83</v>
      </c>
      <c r="B93" s="115" t="s">
        <v>150</v>
      </c>
      <c r="C93" s="56" t="s">
        <v>151</v>
      </c>
      <c r="D93" s="363">
        <f>'68.50.50.01-rest dss'!D93+CPFA!D93</f>
        <v>0</v>
      </c>
      <c r="E93" s="363">
        <f>'68.50.50.01-rest dss'!E93+CPFA!E93</f>
        <v>0</v>
      </c>
      <c r="F93" s="364">
        <f>'68.50.50.01-rest dss'!F93+CPFA!F93</f>
        <v>8319</v>
      </c>
      <c r="G93" s="364">
        <f>'68.50.50.01-rest dss'!G93+CPFA!G93</f>
        <v>2747</v>
      </c>
      <c r="H93" s="364">
        <f>'68.50.50.01-rest dss'!H93+CPFA!H93</f>
        <v>1173</v>
      </c>
      <c r="I93" s="364">
        <f>'68.50.50.01-rest dss'!I93+CPFA!I93</f>
        <v>1731</v>
      </c>
      <c r="J93" s="364">
        <f>'68.50.50.01-rest dss'!J93+CPFA!J93</f>
        <v>2668</v>
      </c>
      <c r="K93" s="57"/>
      <c r="L93" s="43"/>
      <c r="M93" s="771"/>
    </row>
    <row r="94" spans="1:14" s="4" customFormat="1" ht="12.75" customHeight="1" x14ac:dyDescent="0.2">
      <c r="A94" s="689">
        <v>84</v>
      </c>
      <c r="B94" s="115" t="s">
        <v>152</v>
      </c>
      <c r="C94" s="56" t="s">
        <v>153</v>
      </c>
      <c r="D94" s="363">
        <f>'68.50.50.01-rest dss'!D94+CPFA!D94</f>
        <v>0</v>
      </c>
      <c r="E94" s="370">
        <f>'68.50.50.01-rest dss'!E94+CPFA!E94</f>
        <v>0</v>
      </c>
      <c r="F94" s="364">
        <f>'68.50.50.01-rest dss'!F94+CPFA!F94</f>
        <v>1559</v>
      </c>
      <c r="G94" s="364">
        <f>'68.50.50.01-rest dss'!G94+CPFA!G94</f>
        <v>447</v>
      </c>
      <c r="H94" s="364">
        <f>'68.50.50.01-rest dss'!H94+CPFA!H94</f>
        <v>373</v>
      </c>
      <c r="I94" s="364">
        <f>'68.50.50.01-rest dss'!I94+CPFA!I94</f>
        <v>371</v>
      </c>
      <c r="J94" s="364">
        <f>'68.50.50.01-rest dss'!J94+CPFA!J94</f>
        <v>368</v>
      </c>
      <c r="K94" s="57"/>
      <c r="L94" s="43"/>
      <c r="M94" s="771"/>
    </row>
    <row r="95" spans="1:14" s="4" customFormat="1" ht="12.75" hidden="1" customHeight="1" x14ac:dyDescent="0.2">
      <c r="A95" s="689">
        <v>85</v>
      </c>
      <c r="B95" s="116" t="s">
        <v>154</v>
      </c>
      <c r="C95" s="41"/>
      <c r="D95" s="363">
        <f>'68.50.50.01-rest dss'!D95+CPFA!D95</f>
        <v>0</v>
      </c>
      <c r="E95" s="363">
        <f>'68.50.50.01-rest dss'!E95+CPFA!E95</f>
        <v>0</v>
      </c>
      <c r="F95" s="364">
        <f>'68.50.50.01-rest dss'!F95+CPFA!F95</f>
        <v>0</v>
      </c>
      <c r="G95" s="364">
        <f>'68.50.50.01-rest dss'!G95+CPFA!G95</f>
        <v>0</v>
      </c>
      <c r="H95" s="364">
        <f>'68.50.50.01-rest dss'!H95+CPFA!H95</f>
        <v>0</v>
      </c>
      <c r="I95" s="364">
        <f>'68.50.50.01-rest dss'!I95+CPFA!I95</f>
        <v>0</v>
      </c>
      <c r="J95" s="364">
        <f>'68.50.50.01-rest dss'!J95+CPFA!J95</f>
        <v>0</v>
      </c>
      <c r="K95" s="371"/>
      <c r="L95" s="43"/>
      <c r="M95" s="771"/>
    </row>
    <row r="96" spans="1:14" s="4" customFormat="1" ht="12.75" hidden="1" customHeight="1" x14ac:dyDescent="0.2">
      <c r="A96" s="689">
        <v>86</v>
      </c>
      <c r="B96" s="116" t="s">
        <v>155</v>
      </c>
      <c r="C96" s="41"/>
      <c r="D96" s="363">
        <f>'68.50.50.01-rest dss'!D96+CPFA!D96</f>
        <v>0</v>
      </c>
      <c r="E96" s="363">
        <f>'68.50.50.01-rest dss'!E96+CPFA!E96</f>
        <v>0</v>
      </c>
      <c r="F96" s="364">
        <f>'68.50.50.01-rest dss'!F96+CPFA!F96</f>
        <v>0</v>
      </c>
      <c r="G96" s="364">
        <f>'68.50.50.01-rest dss'!G96+CPFA!G96</f>
        <v>0</v>
      </c>
      <c r="H96" s="364">
        <f>'68.50.50.01-rest dss'!H96+CPFA!H96</f>
        <v>0</v>
      </c>
      <c r="I96" s="364">
        <f>'68.50.50.01-rest dss'!I96+CPFA!I96</f>
        <v>0</v>
      </c>
      <c r="J96" s="364">
        <f>'68.50.50.01-rest dss'!J96+CPFA!J96</f>
        <v>0</v>
      </c>
      <c r="K96" s="371"/>
      <c r="L96" s="43"/>
      <c r="M96" s="771"/>
    </row>
    <row r="97" spans="1:13" s="4" customFormat="1" ht="12.75" hidden="1" customHeight="1" x14ac:dyDescent="0.2">
      <c r="A97" s="689">
        <v>87</v>
      </c>
      <c r="B97" s="116" t="s">
        <v>156</v>
      </c>
      <c r="C97" s="41"/>
      <c r="D97" s="363">
        <f>'68.50.50.01-rest dss'!D97+CPFA!D97</f>
        <v>0</v>
      </c>
      <c r="E97" s="363">
        <f>'68.50.50.01-rest dss'!E97+CPFA!E97</f>
        <v>0</v>
      </c>
      <c r="F97" s="364">
        <f>'68.50.50.01-rest dss'!F97+CPFA!F97</f>
        <v>0</v>
      </c>
      <c r="G97" s="364">
        <f>'68.50.50.01-rest dss'!G97+CPFA!G97</f>
        <v>0</v>
      </c>
      <c r="H97" s="364">
        <f>'68.50.50.01-rest dss'!H97+CPFA!H97</f>
        <v>0</v>
      </c>
      <c r="I97" s="364">
        <f>'68.50.50.01-rest dss'!I97+CPFA!I97</f>
        <v>0</v>
      </c>
      <c r="J97" s="364">
        <f>'68.50.50.01-rest dss'!J97+CPFA!J97</f>
        <v>0</v>
      </c>
      <c r="K97" s="371"/>
      <c r="L97" s="43"/>
      <c r="M97" s="771"/>
    </row>
    <row r="98" spans="1:13" s="4" customFormat="1" ht="12.75" hidden="1" customHeight="1" x14ac:dyDescent="0.2">
      <c r="A98" s="689">
        <v>88</v>
      </c>
      <c r="B98" s="119" t="s">
        <v>157</v>
      </c>
      <c r="C98" s="41"/>
      <c r="D98" s="363">
        <f>'68.50.50.01-rest dss'!D98+CPFA!D98</f>
        <v>0</v>
      </c>
      <c r="E98" s="363">
        <f>'68.50.50.01-rest dss'!E98+CPFA!E98</f>
        <v>0</v>
      </c>
      <c r="F98" s="364">
        <f>'68.50.50.01-rest dss'!F98+CPFA!F98</f>
        <v>0</v>
      </c>
      <c r="G98" s="364">
        <f>'68.50.50.01-rest dss'!G98+CPFA!G98</f>
        <v>0</v>
      </c>
      <c r="H98" s="364">
        <f>'68.50.50.01-rest dss'!H98+CPFA!H98</f>
        <v>0</v>
      </c>
      <c r="I98" s="364">
        <f>'68.50.50.01-rest dss'!I98+CPFA!I98</f>
        <v>0</v>
      </c>
      <c r="J98" s="364">
        <f>'68.50.50.01-rest dss'!J98+CPFA!J98</f>
        <v>0</v>
      </c>
      <c r="K98" s="371"/>
      <c r="L98" s="43"/>
      <c r="M98" s="771"/>
    </row>
    <row r="99" spans="1:13" s="4" customFormat="1" ht="12.75" hidden="1" customHeight="1" x14ac:dyDescent="0.2">
      <c r="A99" s="689">
        <v>89</v>
      </c>
      <c r="B99" s="176" t="s">
        <v>158</v>
      </c>
      <c r="C99" s="41"/>
      <c r="D99" s="363">
        <f>'68.50.50.01-rest dss'!D99+CPFA!D99</f>
        <v>0</v>
      </c>
      <c r="E99" s="363">
        <f>'68.50.50.01-rest dss'!E99+CPFA!E99</f>
        <v>0</v>
      </c>
      <c r="F99" s="365">
        <f>'68.50.50.01-rest dss'!F99+CPFA!F99</f>
        <v>0</v>
      </c>
      <c r="G99" s="365">
        <f>'68.50.50.01-rest dss'!G99+CPFA!G99</f>
        <v>0</v>
      </c>
      <c r="H99" s="365">
        <f>'68.50.50.01-rest dss'!H99+CPFA!H99</f>
        <v>0</v>
      </c>
      <c r="I99" s="365">
        <f>'68.50.50.01-rest dss'!I99+CPFA!I99</f>
        <v>0</v>
      </c>
      <c r="J99" s="365">
        <f>'68.50.50.01-rest dss'!J99+CPFA!J99</f>
        <v>0</v>
      </c>
      <c r="K99" s="371"/>
      <c r="L99" s="43"/>
      <c r="M99" s="771"/>
    </row>
    <row r="100" spans="1:13" s="4" customFormat="1" ht="12.75" customHeight="1" x14ac:dyDescent="0.2">
      <c r="A100" s="689">
        <v>90</v>
      </c>
      <c r="B100" s="121" t="s">
        <v>335</v>
      </c>
      <c r="C100" s="41"/>
      <c r="D100" s="363">
        <f>'68.50.50.01-rest dss'!D100+CPFA!D100</f>
        <v>0</v>
      </c>
      <c r="E100" s="363">
        <f>'68.50.50.01-rest dss'!E100+CPFA!E100</f>
        <v>0</v>
      </c>
      <c r="F100" s="365">
        <f>'68.50.50.01-rest dss'!F100+CPFA!F100</f>
        <v>95</v>
      </c>
      <c r="G100" s="365">
        <f>'68.50.50.01-rest dss'!G100+CPFA!G100</f>
        <v>77</v>
      </c>
      <c r="H100" s="365">
        <f>'68.50.50.01-rest dss'!H100+CPFA!H100</f>
        <v>6</v>
      </c>
      <c r="I100" s="365">
        <f>'68.50.50.01-rest dss'!I100+CPFA!I100</f>
        <v>6</v>
      </c>
      <c r="J100" s="365">
        <f>'68.50.50.01-rest dss'!J100+CPFA!J100</f>
        <v>6</v>
      </c>
      <c r="K100" s="371"/>
      <c r="L100" s="43"/>
      <c r="M100" s="771"/>
    </row>
    <row r="101" spans="1:13" s="4" customFormat="1" ht="12.75" customHeight="1" x14ac:dyDescent="0.2">
      <c r="A101" s="689">
        <v>91</v>
      </c>
      <c r="B101" s="122" t="s">
        <v>160</v>
      </c>
      <c r="C101" s="41"/>
      <c r="D101" s="363">
        <f>'68.50.50.01-rest dss'!D101+CPFA!D101</f>
        <v>0</v>
      </c>
      <c r="E101" s="363">
        <f>'68.50.50.01-rest dss'!E101+CPFA!E101</f>
        <v>0</v>
      </c>
      <c r="F101" s="365">
        <f>'68.50.50.01-rest dss'!F101+CPFA!F101</f>
        <v>21</v>
      </c>
      <c r="G101" s="365">
        <f>'68.50.50.01-rest dss'!G101+CPFA!G101</f>
        <v>6</v>
      </c>
      <c r="H101" s="365">
        <f>'68.50.50.01-rest dss'!H101+CPFA!H101</f>
        <v>5</v>
      </c>
      <c r="I101" s="365">
        <f>'68.50.50.01-rest dss'!I101+CPFA!I101</f>
        <v>5</v>
      </c>
      <c r="J101" s="365">
        <f>'68.50.50.01-rest dss'!J101+CPFA!J101</f>
        <v>5</v>
      </c>
      <c r="K101" s="371"/>
      <c r="L101" s="43"/>
      <c r="M101" s="771"/>
    </row>
    <row r="102" spans="1:13" s="4" customFormat="1" ht="12.75" customHeight="1" x14ac:dyDescent="0.2">
      <c r="A102" s="689">
        <v>92</v>
      </c>
      <c r="B102" s="122" t="s">
        <v>161</v>
      </c>
      <c r="C102" s="41"/>
      <c r="D102" s="363">
        <f>'68.50.50.01-rest dss'!D102+CPFA!D102</f>
        <v>0</v>
      </c>
      <c r="E102" s="363">
        <f>'68.50.50.01-rest dss'!E102+CPFA!E102</f>
        <v>0</v>
      </c>
      <c r="F102" s="365">
        <f>'68.50.50.01-rest dss'!F102+CPFA!F102</f>
        <v>8</v>
      </c>
      <c r="G102" s="365">
        <f>'68.50.50.01-rest dss'!G102+CPFA!G102</f>
        <v>2</v>
      </c>
      <c r="H102" s="365">
        <f>'68.50.50.01-rest dss'!H102+CPFA!H102</f>
        <v>2</v>
      </c>
      <c r="I102" s="365">
        <f>'68.50.50.01-rest dss'!I102+CPFA!I102</f>
        <v>2</v>
      </c>
      <c r="J102" s="365">
        <f>'68.50.50.01-rest dss'!J102+CPFA!J102</f>
        <v>2</v>
      </c>
      <c r="K102" s="57"/>
      <c r="L102" s="43"/>
      <c r="M102" s="771"/>
    </row>
    <row r="103" spans="1:13" s="4" customFormat="1" ht="12.75" customHeight="1" x14ac:dyDescent="0.2">
      <c r="A103" s="689">
        <v>93</v>
      </c>
      <c r="B103" s="320" t="s">
        <v>162</v>
      </c>
      <c r="C103" s="41"/>
      <c r="D103" s="363">
        <f>'68.50.50.01-rest dss'!D103+CPFA!D103</f>
        <v>0</v>
      </c>
      <c r="E103" s="363">
        <f>'68.50.50.01-rest dss'!E103+CPFA!E103</f>
        <v>0</v>
      </c>
      <c r="F103" s="365">
        <f>'68.50.50.01-rest dss'!F103+CPFA!F103</f>
        <v>270</v>
      </c>
      <c r="G103" s="365">
        <f>'68.50.50.01-rest dss'!G103+CPFA!G103</f>
        <v>68</v>
      </c>
      <c r="H103" s="365">
        <f>'68.50.50.01-rest dss'!H103+CPFA!H103</f>
        <v>68</v>
      </c>
      <c r="I103" s="365">
        <f>'68.50.50.01-rest dss'!I103+CPFA!I103</f>
        <v>67</v>
      </c>
      <c r="J103" s="365">
        <f>'68.50.50.01-rest dss'!J103+CPFA!J103</f>
        <v>67</v>
      </c>
      <c r="K103" s="57"/>
      <c r="L103" s="43"/>
      <c r="M103" s="771"/>
    </row>
    <row r="104" spans="1:13" s="4" customFormat="1" ht="12.75" hidden="1" customHeight="1" x14ac:dyDescent="0.2">
      <c r="A104" s="689">
        <v>94</v>
      </c>
      <c r="B104" s="122" t="s">
        <v>163</v>
      </c>
      <c r="C104" s="41"/>
      <c r="D104" s="363">
        <f>'68.50.50.01-rest dss'!D104+CPFA!D104</f>
        <v>0</v>
      </c>
      <c r="E104" s="363">
        <f>'68.50.50.01-rest dss'!E104+CPFA!E104</f>
        <v>0</v>
      </c>
      <c r="F104" s="365">
        <f>'68.50.50.01-rest dss'!F104+CPFA!F104</f>
        <v>0</v>
      </c>
      <c r="G104" s="365">
        <f>'68.50.50.01-rest dss'!G104+CPFA!G104</f>
        <v>0</v>
      </c>
      <c r="H104" s="365">
        <f>'68.50.50.01-rest dss'!H104+CPFA!H104</f>
        <v>0</v>
      </c>
      <c r="I104" s="365">
        <f>'68.50.50.01-rest dss'!I104+CPFA!I104</f>
        <v>0</v>
      </c>
      <c r="J104" s="365">
        <f>'68.50.50.01-rest dss'!J104+CPFA!J104</f>
        <v>0</v>
      </c>
      <c r="K104" s="57"/>
      <c r="L104" s="43"/>
      <c r="M104" s="771"/>
    </row>
    <row r="105" spans="1:13" s="4" customFormat="1" ht="12.75" customHeight="1" x14ac:dyDescent="0.2">
      <c r="A105" s="689">
        <v>95</v>
      </c>
      <c r="B105" s="122" t="s">
        <v>164</v>
      </c>
      <c r="C105" s="41"/>
      <c r="D105" s="363">
        <f>'68.50.50.01-rest dss'!D105+CPFA!D105</f>
        <v>0</v>
      </c>
      <c r="E105" s="363">
        <f>'68.50.50.01-rest dss'!E105+CPFA!E105</f>
        <v>0</v>
      </c>
      <c r="F105" s="365">
        <f>'68.50.50.01-rest dss'!F105+CPFA!F105</f>
        <v>1071</v>
      </c>
      <c r="G105" s="365">
        <f>'68.50.50.01-rest dss'!G105+CPFA!G105</f>
        <v>270</v>
      </c>
      <c r="H105" s="365">
        <f>'68.50.50.01-rest dss'!H105+CPFA!H105</f>
        <v>268</v>
      </c>
      <c r="I105" s="365">
        <f>'68.50.50.01-rest dss'!I105+CPFA!I105</f>
        <v>268</v>
      </c>
      <c r="J105" s="365">
        <f>'68.50.50.01-rest dss'!J105+CPFA!J105</f>
        <v>265</v>
      </c>
      <c r="K105" s="57"/>
      <c r="L105" s="43"/>
      <c r="M105" s="771"/>
    </row>
    <row r="106" spans="1:13" s="4" customFormat="1" ht="12.75" customHeight="1" x14ac:dyDescent="0.2">
      <c r="A106" s="689">
        <v>96</v>
      </c>
      <c r="B106" s="122" t="s">
        <v>270</v>
      </c>
      <c r="C106" s="41"/>
      <c r="D106" s="363">
        <f>'68.50.50.01-rest dss'!D106+CPFA!D106</f>
        <v>0</v>
      </c>
      <c r="E106" s="363">
        <f>'68.50.50.01-rest dss'!E106+CPFA!E106</f>
        <v>0</v>
      </c>
      <c r="F106" s="365">
        <f>'68.50.50.01-rest dss'!F106+CPFA!F106</f>
        <v>94</v>
      </c>
      <c r="G106" s="365">
        <f>'68.50.50.01-rest dss'!G106+CPFA!G106</f>
        <v>24</v>
      </c>
      <c r="H106" s="365">
        <f>'68.50.50.01-rest dss'!H106+CPFA!H106</f>
        <v>24</v>
      </c>
      <c r="I106" s="365">
        <f>'68.50.50.01-rest dss'!I106+CPFA!I106</f>
        <v>23</v>
      </c>
      <c r="J106" s="365">
        <f>'68.50.50.01-rest dss'!J106+CPFA!J106</f>
        <v>23</v>
      </c>
      <c r="K106" s="57"/>
      <c r="L106" s="43"/>
      <c r="M106" s="771"/>
    </row>
    <row r="107" spans="1:13" s="4" customFormat="1" ht="12.75" customHeight="1" x14ac:dyDescent="0.2">
      <c r="A107" s="689">
        <v>97</v>
      </c>
      <c r="B107" s="123" t="s">
        <v>165</v>
      </c>
      <c r="C107" s="56" t="s">
        <v>166</v>
      </c>
      <c r="D107" s="363">
        <f>'68.50.50.01-rest dss'!D107+CPFA!D107</f>
        <v>0</v>
      </c>
      <c r="E107" s="363">
        <f>'68.50.50.01-rest dss'!E107+CPFA!E107</f>
        <v>0</v>
      </c>
      <c r="F107" s="364">
        <f>'68.50.50.01-rest dss'!F107+CPFA!F107</f>
        <v>6760</v>
      </c>
      <c r="G107" s="364">
        <f>'68.50.50.01-rest dss'!G107+CPFA!G107</f>
        <v>2300</v>
      </c>
      <c r="H107" s="364">
        <f>'68.50.50.01-rest dss'!H107+CPFA!H107</f>
        <v>800</v>
      </c>
      <c r="I107" s="364">
        <f>'68.50.50.01-rest dss'!I107+CPFA!I107</f>
        <v>1360</v>
      </c>
      <c r="J107" s="364">
        <f>'68.50.50.01-rest dss'!J107+CPFA!J107</f>
        <v>2300</v>
      </c>
      <c r="K107" s="57"/>
      <c r="L107" s="43"/>
      <c r="M107" s="771"/>
    </row>
    <row r="108" spans="1:13" s="4" customFormat="1" ht="12.75" hidden="1" customHeight="1" x14ac:dyDescent="0.2">
      <c r="A108" s="689">
        <v>98</v>
      </c>
      <c r="B108" s="124" t="s">
        <v>167</v>
      </c>
      <c r="C108" s="41"/>
      <c r="D108" s="363">
        <f>'68.50.50.01-rest dss'!D108+CPFA!D108</f>
        <v>0</v>
      </c>
      <c r="E108" s="363">
        <f>'68.50.50.01-rest dss'!E108+CPFA!E108</f>
        <v>0</v>
      </c>
      <c r="F108" s="364">
        <f>'68.50.50.01-rest dss'!F108+CPFA!F108</f>
        <v>0</v>
      </c>
      <c r="G108" s="364">
        <f>'68.50.50.01-rest dss'!G108+CPFA!G108</f>
        <v>0</v>
      </c>
      <c r="H108" s="364">
        <f>'68.50.50.01-rest dss'!H108+CPFA!H108</f>
        <v>0</v>
      </c>
      <c r="I108" s="364">
        <f>'68.50.50.01-rest dss'!I108+CPFA!I108</f>
        <v>0</v>
      </c>
      <c r="J108" s="364">
        <f>'68.50.50.01-rest dss'!J108+CPFA!J108</f>
        <v>0</v>
      </c>
      <c r="K108" s="371"/>
      <c r="L108" s="43"/>
      <c r="M108" s="771"/>
    </row>
    <row r="109" spans="1:13" s="4" customFormat="1" ht="12.75" customHeight="1" x14ac:dyDescent="0.2">
      <c r="A109" s="689">
        <v>99</v>
      </c>
      <c r="B109" s="125" t="s">
        <v>168</v>
      </c>
      <c r="C109" s="41"/>
      <c r="D109" s="363">
        <f>'68.50.50.01-rest dss'!D109+CPFA!D109</f>
        <v>0</v>
      </c>
      <c r="E109" s="363">
        <f>'68.50.50.01-rest dss'!E109+CPFA!E109</f>
        <v>0</v>
      </c>
      <c r="F109" s="365">
        <f>'68.50.50.01-rest dss'!F109+CPFA!F109</f>
        <v>560</v>
      </c>
      <c r="G109" s="365">
        <f>'68.50.50.01-rest dss'!G109+CPFA!G109</f>
        <v>0</v>
      </c>
      <c r="H109" s="365">
        <f>'68.50.50.01-rest dss'!H109+CPFA!H109</f>
        <v>0</v>
      </c>
      <c r="I109" s="365">
        <f>'68.50.50.01-rest dss'!I109+CPFA!I109</f>
        <v>560</v>
      </c>
      <c r="J109" s="365">
        <f>'68.50.50.01-rest dss'!J109+CPFA!J109</f>
        <v>0</v>
      </c>
      <c r="K109" s="371"/>
      <c r="L109" s="43"/>
      <c r="M109" s="771"/>
    </row>
    <row r="110" spans="1:13" s="4" customFormat="1" ht="12.75" customHeight="1" x14ac:dyDescent="0.2">
      <c r="A110" s="689">
        <v>100</v>
      </c>
      <c r="B110" s="116" t="s">
        <v>371</v>
      </c>
      <c r="C110" s="41"/>
      <c r="D110" s="370">
        <f>'68.50.50.01-rest dss'!D110+CPFA!D110</f>
        <v>0</v>
      </c>
      <c r="E110" s="363">
        <f>'68.50.50.01-rest dss'!E110+CPFA!E110</f>
        <v>0</v>
      </c>
      <c r="F110" s="365">
        <f>'68.50.50.01-rest dss'!F110+CPFA!F110</f>
        <v>3000</v>
      </c>
      <c r="G110" s="365">
        <f>'68.50.50.01-rest dss'!G110+CPFA!G110</f>
        <v>1500</v>
      </c>
      <c r="H110" s="365">
        <f>'68.50.50.01-rest dss'!H110+CPFA!H110</f>
        <v>0</v>
      </c>
      <c r="I110" s="365">
        <f>'68.50.50.01-rest dss'!I110+CPFA!I110</f>
        <v>0</v>
      </c>
      <c r="J110" s="365">
        <f>'68.50.50.01-rest dss'!J110+CPFA!J110</f>
        <v>1500</v>
      </c>
      <c r="K110" s="371"/>
      <c r="L110" s="43"/>
      <c r="M110" s="771"/>
    </row>
    <row r="111" spans="1:13" s="4" customFormat="1" ht="12.75" customHeight="1" x14ac:dyDescent="0.2">
      <c r="A111" s="689">
        <v>101</v>
      </c>
      <c r="B111" s="116" t="s">
        <v>170</v>
      </c>
      <c r="C111" s="41"/>
      <c r="D111" s="363">
        <f>'68.50.50.01-rest dss'!D111+CPFA!D111</f>
        <v>0</v>
      </c>
      <c r="E111" s="363">
        <f>'68.50.50.01-rest dss'!E111+CPFA!E111</f>
        <v>0</v>
      </c>
      <c r="F111" s="365">
        <f>'68.50.50.01-rest dss'!F111+CPFA!F111</f>
        <v>3200</v>
      </c>
      <c r="G111" s="365">
        <f>'68.50.50.01-rest dss'!G111+CPFA!G111</f>
        <v>800</v>
      </c>
      <c r="H111" s="365">
        <f>'68.50.50.01-rest dss'!H111+CPFA!H111</f>
        <v>800</v>
      </c>
      <c r="I111" s="365">
        <f>'68.50.50.01-rest dss'!I111+CPFA!I111</f>
        <v>800</v>
      </c>
      <c r="J111" s="365">
        <f>'68.50.50.01-rest dss'!J111+CPFA!J111</f>
        <v>800</v>
      </c>
      <c r="K111" s="57"/>
      <c r="L111" s="43"/>
      <c r="M111" s="771"/>
    </row>
    <row r="112" spans="1:13" s="4" customFormat="1" ht="25.5" customHeight="1" x14ac:dyDescent="0.2">
      <c r="A112" s="689">
        <v>102</v>
      </c>
      <c r="B112" s="126" t="s">
        <v>171</v>
      </c>
      <c r="C112" s="101" t="s">
        <v>172</v>
      </c>
      <c r="D112" s="363">
        <f>'68.50.50.01-rest dss'!D112+CPFA!D112</f>
        <v>0</v>
      </c>
      <c r="E112" s="363">
        <f>'68.50.50.01-rest dss'!E112+CPFA!E112</f>
        <v>0</v>
      </c>
      <c r="F112" s="364">
        <f>'68.50.50.01-rest dss'!F112+CPFA!F112</f>
        <v>0</v>
      </c>
      <c r="G112" s="364">
        <f>'68.50.50.01-rest dss'!G112+CPFA!G112</f>
        <v>0</v>
      </c>
      <c r="H112" s="364">
        <f>'68.50.50.01-rest dss'!H112+CPFA!H112</f>
        <v>0</v>
      </c>
      <c r="I112" s="364">
        <f>'68.50.50.01-rest dss'!I112+CPFA!I112</f>
        <v>0</v>
      </c>
      <c r="J112" s="364">
        <f>'68.50.50.01-rest dss'!J112+CPFA!J112</f>
        <v>0</v>
      </c>
      <c r="K112" s="57">
        <f>'68.50.50.01-rest dss'!K112+CPFA!K112</f>
        <v>0</v>
      </c>
      <c r="L112" s="43">
        <f>'68.50.50.01-rest dss'!L112+CPFA!L112</f>
        <v>0</v>
      </c>
      <c r="M112" s="771">
        <f>'68.50.50.01-rest dss'!M112+CPFA!M112</f>
        <v>0</v>
      </c>
    </row>
    <row r="113" spans="1:13" s="4" customFormat="1" ht="12.75" customHeight="1" x14ac:dyDescent="0.2">
      <c r="A113" s="689">
        <v>103</v>
      </c>
      <c r="B113" s="320" t="s">
        <v>127</v>
      </c>
      <c r="C113" s="56" t="s">
        <v>173</v>
      </c>
      <c r="D113" s="363">
        <f>'68.50.50.01-rest dss'!D113+CPFA!D113</f>
        <v>0</v>
      </c>
      <c r="E113" s="363">
        <f>'68.50.50.01-rest dss'!E113+CPFA!E113</f>
        <v>0</v>
      </c>
      <c r="F113" s="364">
        <f>'68.50.50.01-rest dss'!F113+CPFA!F113</f>
        <v>0</v>
      </c>
      <c r="G113" s="364">
        <f>'68.50.50.01-rest dss'!G113+CPFA!G113</f>
        <v>0</v>
      </c>
      <c r="H113" s="364">
        <f>'68.50.50.01-rest dss'!H113+CPFA!H113</f>
        <v>0</v>
      </c>
      <c r="I113" s="364">
        <f>'68.50.50.01-rest dss'!I113+CPFA!I113</f>
        <v>0</v>
      </c>
      <c r="J113" s="364">
        <f>'68.50.50.01-rest dss'!J113+CPFA!J113</f>
        <v>0</v>
      </c>
      <c r="K113" s="371"/>
      <c r="L113" s="43"/>
      <c r="M113" s="771"/>
    </row>
    <row r="114" spans="1:13" s="4" customFormat="1" ht="12.75" customHeight="1" x14ac:dyDescent="0.2">
      <c r="A114" s="689">
        <v>104</v>
      </c>
      <c r="B114" s="73" t="s">
        <v>174</v>
      </c>
      <c r="C114" s="56"/>
      <c r="D114" s="363">
        <f>'68.50.50.01-rest dss'!D114+CPFA!D114</f>
        <v>0</v>
      </c>
      <c r="E114" s="363">
        <f>'68.50.50.01-rest dss'!E114+CPFA!E114</f>
        <v>0</v>
      </c>
      <c r="F114" s="364">
        <f>'68.50.50.01-rest dss'!F114+CPFA!F114</f>
        <v>0</v>
      </c>
      <c r="G114" s="364">
        <f>'68.50.50.01-rest dss'!G114+CPFA!G114</f>
        <v>0</v>
      </c>
      <c r="H114" s="364">
        <f>'68.50.50.01-rest dss'!H114+CPFA!H114</f>
        <v>0</v>
      </c>
      <c r="I114" s="364">
        <f>'68.50.50.01-rest dss'!I114+CPFA!I114</f>
        <v>0</v>
      </c>
      <c r="J114" s="364">
        <f>'68.50.50.01-rest dss'!J114+CPFA!J114</f>
        <v>0</v>
      </c>
      <c r="K114" s="371"/>
      <c r="L114" s="43"/>
      <c r="M114" s="771"/>
    </row>
    <row r="115" spans="1:13" s="4" customFormat="1" ht="12.75" hidden="1" customHeight="1" x14ac:dyDescent="0.2">
      <c r="A115" s="689">
        <v>105</v>
      </c>
      <c r="B115" s="73" t="s">
        <v>175</v>
      </c>
      <c r="C115" s="56"/>
      <c r="D115" s="363">
        <f>'68.50.50.01-rest dss'!D115+CPFA!D115</f>
        <v>0</v>
      </c>
      <c r="E115" s="363">
        <f>'68.50.50.01-rest dss'!E115+CPFA!E115</f>
        <v>0</v>
      </c>
      <c r="F115" s="364">
        <f>'68.50.50.01-rest dss'!F115+CPFA!F115</f>
        <v>0</v>
      </c>
      <c r="G115" s="364">
        <f>'68.50.50.01-rest dss'!G115+CPFA!G115</f>
        <v>0</v>
      </c>
      <c r="H115" s="364">
        <f>'68.50.50.01-rest dss'!H115+CPFA!H115</f>
        <v>0</v>
      </c>
      <c r="I115" s="364">
        <f>'68.50.50.01-rest dss'!I115+CPFA!I115</f>
        <v>0</v>
      </c>
      <c r="J115" s="364">
        <f>'68.50.50.01-rest dss'!J115+CPFA!J115</f>
        <v>0</v>
      </c>
      <c r="K115" s="371"/>
      <c r="L115" s="43"/>
      <c r="M115" s="771"/>
    </row>
    <row r="116" spans="1:13" s="4" customFormat="1" ht="12.75" customHeight="1" x14ac:dyDescent="0.2">
      <c r="A116" s="689">
        <v>106</v>
      </c>
      <c r="B116" s="73" t="s">
        <v>176</v>
      </c>
      <c r="C116" s="56" t="s">
        <v>177</v>
      </c>
      <c r="D116" s="363">
        <f>'68.50.50.01-rest dss'!D116+CPFA!D116</f>
        <v>0</v>
      </c>
      <c r="E116" s="363">
        <f>'68.50.50.01-rest dss'!E116+CPFA!E116</f>
        <v>0</v>
      </c>
      <c r="F116" s="364">
        <f>'68.50.50.01-rest dss'!F116+CPFA!F116</f>
        <v>0</v>
      </c>
      <c r="G116" s="364">
        <f>'68.50.50.01-rest dss'!G116+CPFA!G116</f>
        <v>0</v>
      </c>
      <c r="H116" s="364">
        <f>'68.50.50.01-rest dss'!H116+CPFA!H116</f>
        <v>0</v>
      </c>
      <c r="I116" s="364">
        <f>'68.50.50.01-rest dss'!I116+CPFA!I116</f>
        <v>0</v>
      </c>
      <c r="J116" s="364">
        <f>'68.50.50.01-rest dss'!J116+CPFA!J116</f>
        <v>0</v>
      </c>
      <c r="K116" s="371"/>
      <c r="L116" s="43"/>
      <c r="M116" s="771"/>
    </row>
    <row r="117" spans="1:13" s="4" customFormat="1" ht="25.5" hidden="1" customHeight="1" x14ac:dyDescent="0.2">
      <c r="A117" s="689">
        <v>107</v>
      </c>
      <c r="B117" s="169" t="s">
        <v>178</v>
      </c>
      <c r="C117" s="101" t="s">
        <v>179</v>
      </c>
      <c r="D117" s="363">
        <f>'68.50.50.01-rest dss'!D117+CPFA!D117</f>
        <v>0</v>
      </c>
      <c r="E117" s="363">
        <f>'68.50.50.01-rest dss'!E117+CPFA!E117</f>
        <v>0</v>
      </c>
      <c r="F117" s="364">
        <f>'68.50.50.01-rest dss'!F117+CPFA!F117</f>
        <v>0</v>
      </c>
      <c r="G117" s="364">
        <f>'68.50.50.01-rest dss'!G117+CPFA!G117</f>
        <v>0</v>
      </c>
      <c r="H117" s="364">
        <f>'68.50.50.01-rest dss'!H117+CPFA!H117</f>
        <v>0</v>
      </c>
      <c r="I117" s="364">
        <f>'68.50.50.01-rest dss'!I117+CPFA!I117</f>
        <v>0</v>
      </c>
      <c r="J117" s="364">
        <f>'68.50.50.01-rest dss'!J117+CPFA!J117</f>
        <v>0</v>
      </c>
      <c r="K117" s="57"/>
      <c r="L117" s="43"/>
      <c r="M117" s="771"/>
    </row>
    <row r="118" spans="1:13" s="135" customFormat="1" ht="12.75" customHeight="1" x14ac:dyDescent="0.2">
      <c r="A118" s="689">
        <v>108</v>
      </c>
      <c r="B118" s="179" t="s">
        <v>180</v>
      </c>
      <c r="C118" s="180"/>
      <c r="D118" s="286">
        <f>'68.50.50.01-rest dss'!D118+CPFA!D118</f>
        <v>7852.6</v>
      </c>
      <c r="E118" s="286">
        <f>'68.50.50.01-rest dss'!E118+CPFA!E118</f>
        <v>0</v>
      </c>
      <c r="F118" s="372">
        <f>'68.50.50.01-rest dss'!F118+CPFA!F118</f>
        <v>4013.6</v>
      </c>
      <c r="G118" s="372">
        <f>'68.50.50.01-rest dss'!G118+CPFA!G118</f>
        <v>3030</v>
      </c>
      <c r="H118" s="372">
        <f>'68.50.50.01-rest dss'!H118+CPFA!H118</f>
        <v>437</v>
      </c>
      <c r="I118" s="372">
        <f>'68.50.50.01-rest dss'!I118+CPFA!I118</f>
        <v>546.6</v>
      </c>
      <c r="J118" s="372">
        <f>'68.50.50.01-rest dss'!J118+CPFA!J118</f>
        <v>0</v>
      </c>
      <c r="K118" s="996">
        <f>'68.50.50.01-rest dss'!K118+CPFA!K118</f>
        <v>3839</v>
      </c>
      <c r="L118" s="364">
        <f>'68.50.50.01-rest dss'!L118+CPFA!L118</f>
        <v>0</v>
      </c>
      <c r="M118" s="980">
        <f>'68.50.50.01-rest dss'!M118+CPFA!M118</f>
        <v>0</v>
      </c>
    </row>
    <row r="119" spans="1:13" s="4" customFormat="1" ht="25.5" hidden="1" customHeight="1" x14ac:dyDescent="0.2">
      <c r="A119" s="689">
        <v>109</v>
      </c>
      <c r="B119" s="126" t="s">
        <v>181</v>
      </c>
      <c r="C119" s="136" t="s">
        <v>182</v>
      </c>
      <c r="D119" s="363">
        <f>'68.50.50.01-rest dss'!D119+CPFA!D119</f>
        <v>0</v>
      </c>
      <c r="E119" s="363">
        <f>'68.50.50.01-rest dss'!E119+CPFA!E119</f>
        <v>0</v>
      </c>
      <c r="F119" s="364">
        <f>'68.50.50.01-rest dss'!F119+CPFA!F119</f>
        <v>0</v>
      </c>
      <c r="G119" s="364">
        <f>'68.50.50.01-rest dss'!G119+CPFA!G119</f>
        <v>0</v>
      </c>
      <c r="H119" s="364">
        <f>'68.50.50.01-rest dss'!H119+CPFA!H119</f>
        <v>0</v>
      </c>
      <c r="I119" s="364">
        <f>'68.50.50.01-rest dss'!I119+CPFA!I119</f>
        <v>0</v>
      </c>
      <c r="J119" s="364">
        <f>'68.50.50.01-rest dss'!J119+CPFA!J119</f>
        <v>0</v>
      </c>
      <c r="K119" s="981"/>
      <c r="L119" s="364"/>
      <c r="M119" s="980"/>
    </row>
    <row r="120" spans="1:13" s="4" customFormat="1" ht="12.75" hidden="1" customHeight="1" x14ac:dyDescent="0.2">
      <c r="A120" s="689">
        <v>110</v>
      </c>
      <c r="B120" s="55" t="s">
        <v>183</v>
      </c>
      <c r="C120" s="56" t="s">
        <v>184</v>
      </c>
      <c r="D120" s="363">
        <f>'68.50.50.01-rest dss'!D120+CPFA!D120</f>
        <v>0</v>
      </c>
      <c r="E120" s="363">
        <f>'68.50.50.01-rest dss'!E120+CPFA!E120</f>
        <v>0</v>
      </c>
      <c r="F120" s="364">
        <f>'68.50.50.01-rest dss'!F120+CPFA!F120</f>
        <v>0</v>
      </c>
      <c r="G120" s="364">
        <f>'68.50.50.01-rest dss'!G120+CPFA!G120</f>
        <v>0</v>
      </c>
      <c r="H120" s="364">
        <f>'68.50.50.01-rest dss'!H120+CPFA!H120</f>
        <v>0</v>
      </c>
      <c r="I120" s="364">
        <f>'68.50.50.01-rest dss'!I120+CPFA!I120</f>
        <v>0</v>
      </c>
      <c r="J120" s="364">
        <f>'68.50.50.01-rest dss'!J120+CPFA!J120</f>
        <v>0</v>
      </c>
      <c r="K120" s="981"/>
      <c r="L120" s="364"/>
      <c r="M120" s="980"/>
    </row>
    <row r="121" spans="1:13" s="139" customFormat="1" ht="12.75" hidden="1" customHeight="1" x14ac:dyDescent="0.2">
      <c r="A121" s="689">
        <v>111</v>
      </c>
      <c r="B121" s="138" t="s">
        <v>185</v>
      </c>
      <c r="C121" s="41" t="s">
        <v>186</v>
      </c>
      <c r="D121" s="363">
        <f>'68.50.50.01-rest dss'!D121+CPFA!D121</f>
        <v>0</v>
      </c>
      <c r="E121" s="363">
        <f>'68.50.50.01-rest dss'!E121+CPFA!E121</f>
        <v>0</v>
      </c>
      <c r="F121" s="364">
        <f>'68.50.50.01-rest dss'!F121+CPFA!F121</f>
        <v>0</v>
      </c>
      <c r="G121" s="364">
        <f>'68.50.50.01-rest dss'!G121+CPFA!G121</f>
        <v>0</v>
      </c>
      <c r="H121" s="364">
        <f>'68.50.50.01-rest dss'!H121+CPFA!H121</f>
        <v>0</v>
      </c>
      <c r="I121" s="364">
        <f>'68.50.50.01-rest dss'!I121+CPFA!I121</f>
        <v>0</v>
      </c>
      <c r="J121" s="364">
        <f>'68.50.50.01-rest dss'!J121+CPFA!J121</f>
        <v>0</v>
      </c>
      <c r="K121" s="981"/>
      <c r="L121" s="364"/>
      <c r="M121" s="980"/>
    </row>
    <row r="122" spans="1:13" s="139" customFormat="1" ht="16.899999999999999" customHeight="1" x14ac:dyDescent="0.2">
      <c r="A122" s="689">
        <v>112</v>
      </c>
      <c r="B122" s="138" t="s">
        <v>187</v>
      </c>
      <c r="C122" s="56" t="s">
        <v>188</v>
      </c>
      <c r="D122" s="363">
        <f>'68.50.50.01-rest dss'!D122+CPFA!D122</f>
        <v>0</v>
      </c>
      <c r="E122" s="370">
        <f>'68.50.50.01-rest dss'!E122+CPFA!E122</f>
        <v>0</v>
      </c>
      <c r="F122" s="303">
        <f>'68.50.50.01-rest dss'!F122+CPFA!F122</f>
        <v>0</v>
      </c>
      <c r="G122" s="303">
        <f>'68.50.50.01-rest dss'!G122+CPFA!G122</f>
        <v>0</v>
      </c>
      <c r="H122" s="303">
        <f>'68.50.50.01-rest dss'!H122+CPFA!H122</f>
        <v>0</v>
      </c>
      <c r="I122" s="303">
        <f>'68.50.50.01-rest dss'!I122+CPFA!I122</f>
        <v>0</v>
      </c>
      <c r="J122" s="303">
        <f>'68.50.50.01-rest dss'!J122+CPFA!J122</f>
        <v>0</v>
      </c>
      <c r="K122" s="979"/>
      <c r="L122" s="364"/>
      <c r="M122" s="980"/>
    </row>
    <row r="123" spans="1:13" s="139" customFormat="1" ht="12.75" hidden="1" customHeight="1" x14ac:dyDescent="0.2">
      <c r="A123" s="689">
        <v>113</v>
      </c>
      <c r="B123" s="138" t="s">
        <v>271</v>
      </c>
      <c r="C123" s="56" t="s">
        <v>190</v>
      </c>
      <c r="D123" s="363">
        <f>'68.50.50.01-rest dss'!D123+CPFA!D123</f>
        <v>0</v>
      </c>
      <c r="E123" s="363">
        <f>'68.50.50.01-rest dss'!E123+CPFA!E123</f>
        <v>0</v>
      </c>
      <c r="F123" s="364">
        <f>'68.50.50.01-rest dss'!F123+CPFA!F123</f>
        <v>0</v>
      </c>
      <c r="G123" s="364">
        <f>'68.50.50.01-rest dss'!G123+CPFA!G123</f>
        <v>0</v>
      </c>
      <c r="H123" s="364">
        <f>'68.50.50.01-rest dss'!H123+CPFA!H123</f>
        <v>0</v>
      </c>
      <c r="I123" s="364">
        <f>'68.50.50.01-rest dss'!I123+CPFA!I123</f>
        <v>0</v>
      </c>
      <c r="J123" s="364">
        <f>'68.50.50.01-rest dss'!J123+CPFA!J123</f>
        <v>0</v>
      </c>
      <c r="K123" s="979"/>
      <c r="L123" s="364"/>
      <c r="M123" s="980"/>
    </row>
    <row r="124" spans="1:13" s="139" customFormat="1" ht="12.75" hidden="1" customHeight="1" x14ac:dyDescent="0.2">
      <c r="A124" s="689">
        <v>114</v>
      </c>
      <c r="B124" s="138" t="s">
        <v>191</v>
      </c>
      <c r="C124" s="41" t="s">
        <v>272</v>
      </c>
      <c r="D124" s="363">
        <f>'68.50.50.01-rest dss'!D124+CPFA!D124</f>
        <v>0</v>
      </c>
      <c r="E124" s="363">
        <f>'68.50.50.01-rest dss'!E124+CPFA!E124</f>
        <v>0</v>
      </c>
      <c r="F124" s="364">
        <f>'68.50.50.01-rest dss'!F124+CPFA!F124</f>
        <v>0</v>
      </c>
      <c r="G124" s="364">
        <f>'68.50.50.01-rest dss'!G124+CPFA!G124</f>
        <v>0</v>
      </c>
      <c r="H124" s="364">
        <f>'68.50.50.01-rest dss'!H124+CPFA!H124</f>
        <v>0</v>
      </c>
      <c r="I124" s="364">
        <f>'68.50.50.01-rest dss'!I124+CPFA!I124</f>
        <v>0</v>
      </c>
      <c r="J124" s="364">
        <f>'68.50.50.01-rest dss'!J124+CPFA!J124</f>
        <v>0</v>
      </c>
      <c r="K124" s="979"/>
      <c r="L124" s="364"/>
      <c r="M124" s="980"/>
    </row>
    <row r="125" spans="1:13" s="139" customFormat="1" ht="12.75" customHeight="1" x14ac:dyDescent="0.2">
      <c r="A125" s="689">
        <v>115</v>
      </c>
      <c r="B125" s="314" t="s">
        <v>273</v>
      </c>
      <c r="C125" s="56" t="s">
        <v>194</v>
      </c>
      <c r="D125" s="370">
        <f>'68.50.50.01-rest dss'!D125+CPFA!D125</f>
        <v>0</v>
      </c>
      <c r="E125" s="370">
        <f>'68.50.50.01-rest dss'!E125+CPFA!E125</f>
        <v>0</v>
      </c>
      <c r="F125" s="303">
        <f>'68.50.50.01-rest dss'!F125+CPFA!F125</f>
        <v>0</v>
      </c>
      <c r="G125" s="303">
        <f>'68.50.50.01-rest dss'!G125+CPFA!G125</f>
        <v>0</v>
      </c>
      <c r="H125" s="303">
        <f>'68.50.50.01-rest dss'!H125+CPFA!H125</f>
        <v>0</v>
      </c>
      <c r="I125" s="303">
        <f>'68.50.50.01-rest dss'!I125+CPFA!I125</f>
        <v>0</v>
      </c>
      <c r="J125" s="303">
        <f>'68.50.50.01-rest dss'!J125+CPFA!J125</f>
        <v>0</v>
      </c>
      <c r="K125" s="979"/>
      <c r="L125" s="364"/>
      <c r="M125" s="980"/>
    </row>
    <row r="126" spans="1:13" s="139" customFormat="1" ht="12.75" customHeight="1" x14ac:dyDescent="0.2">
      <c r="A126" s="689">
        <v>116</v>
      </c>
      <c r="B126" s="138" t="s">
        <v>195</v>
      </c>
      <c r="C126" s="41" t="s">
        <v>196</v>
      </c>
      <c r="D126" s="370">
        <f>'68.50.50.01-rest dss'!D126+CPFA!D126</f>
        <v>0</v>
      </c>
      <c r="E126" s="370">
        <f>'68.50.50.01-rest dss'!E126+CPFA!E126</f>
        <v>0</v>
      </c>
      <c r="F126" s="303">
        <f>'68.50.50.01-rest dss'!F126+CPFA!F126</f>
        <v>0</v>
      </c>
      <c r="G126" s="303">
        <f>'68.50.50.01-rest dss'!G126+CPFA!G126</f>
        <v>0</v>
      </c>
      <c r="H126" s="303">
        <f>'68.50.50.01-rest dss'!H126+CPFA!H126</f>
        <v>0</v>
      </c>
      <c r="I126" s="303">
        <f>'68.50.50.01-rest dss'!I126+CPFA!I126</f>
        <v>0</v>
      </c>
      <c r="J126" s="303">
        <f>'68.50.50.01-rest dss'!J126+CPFA!J126</f>
        <v>0</v>
      </c>
      <c r="K126" s="979"/>
      <c r="L126" s="364"/>
      <c r="M126" s="980"/>
    </row>
    <row r="127" spans="1:13" s="139" customFormat="1" ht="12.75" customHeight="1" x14ac:dyDescent="0.2">
      <c r="A127" s="689">
        <v>117</v>
      </c>
      <c r="B127" s="138" t="s">
        <v>191</v>
      </c>
      <c r="C127" s="41" t="s">
        <v>197</v>
      </c>
      <c r="D127" s="370">
        <f>'68.50.50.01-rest dss'!D127+CPFA!D127</f>
        <v>0</v>
      </c>
      <c r="E127" s="370">
        <f>'68.50.50.01-rest dss'!E127+CPFA!E127</f>
        <v>0</v>
      </c>
      <c r="F127" s="303">
        <f>'68.50.50.01-rest dss'!F127+CPFA!F127</f>
        <v>0</v>
      </c>
      <c r="G127" s="303">
        <f>'68.50.50.01-rest dss'!G127+CPFA!G127</f>
        <v>0</v>
      </c>
      <c r="H127" s="303">
        <f>'68.50.50.01-rest dss'!H127+CPFA!H127</f>
        <v>0</v>
      </c>
      <c r="I127" s="303">
        <f>'68.50.50.01-rest dss'!I127+CPFA!I127</f>
        <v>0</v>
      </c>
      <c r="J127" s="303">
        <f>'68.50.50.01-rest dss'!J127+CPFA!J127</f>
        <v>0</v>
      </c>
      <c r="K127" s="979"/>
      <c r="L127" s="364"/>
      <c r="M127" s="980"/>
    </row>
    <row r="128" spans="1:13" s="139" customFormat="1" ht="12.75" hidden="1" customHeight="1" x14ac:dyDescent="0.2">
      <c r="A128" s="689">
        <v>118</v>
      </c>
      <c r="B128" s="138" t="s">
        <v>198</v>
      </c>
      <c r="C128" s="56" t="s">
        <v>199</v>
      </c>
      <c r="D128" s="370"/>
      <c r="E128" s="370"/>
      <c r="F128" s="802"/>
      <c r="G128" s="802"/>
      <c r="H128" s="802"/>
      <c r="I128" s="802"/>
      <c r="J128" s="802"/>
      <c r="K128" s="979"/>
      <c r="L128" s="364"/>
      <c r="M128" s="980"/>
    </row>
    <row r="129" spans="1:15" s="139" customFormat="1" ht="12.75" hidden="1" customHeight="1" x14ac:dyDescent="0.2">
      <c r="A129" s="689">
        <v>119</v>
      </c>
      <c r="B129" s="138" t="s">
        <v>200</v>
      </c>
      <c r="C129" s="41" t="s">
        <v>201</v>
      </c>
      <c r="D129" s="370"/>
      <c r="E129" s="370"/>
      <c r="F129" s="802"/>
      <c r="G129" s="802"/>
      <c r="H129" s="802"/>
      <c r="I129" s="802"/>
      <c r="J129" s="802"/>
      <c r="K129" s="979"/>
      <c r="L129" s="364"/>
      <c r="M129" s="980"/>
    </row>
    <row r="130" spans="1:15" s="139" customFormat="1" ht="12.75" hidden="1" customHeight="1" x14ac:dyDescent="0.2">
      <c r="A130" s="689">
        <v>120</v>
      </c>
      <c r="B130" s="138" t="s">
        <v>202</v>
      </c>
      <c r="C130" s="41" t="s">
        <v>203</v>
      </c>
      <c r="D130" s="370"/>
      <c r="E130" s="370"/>
      <c r="F130" s="802"/>
      <c r="G130" s="802"/>
      <c r="H130" s="802"/>
      <c r="I130" s="802"/>
      <c r="J130" s="802"/>
      <c r="K130" s="979"/>
      <c r="L130" s="364"/>
      <c r="M130" s="980"/>
    </row>
    <row r="131" spans="1:15" s="139" customFormat="1" ht="12.75" hidden="1" customHeight="1" x14ac:dyDescent="0.2">
      <c r="A131" s="689">
        <v>121</v>
      </c>
      <c r="B131" s="138" t="s">
        <v>204</v>
      </c>
      <c r="C131" s="41" t="s">
        <v>205</v>
      </c>
      <c r="D131" s="370"/>
      <c r="E131" s="370"/>
      <c r="F131" s="802"/>
      <c r="G131" s="802"/>
      <c r="H131" s="802"/>
      <c r="I131" s="802"/>
      <c r="J131" s="802"/>
      <c r="K131" s="979"/>
      <c r="L131" s="364"/>
      <c r="M131" s="980"/>
    </row>
    <row r="132" spans="1:15" s="4" customFormat="1" ht="12.75" customHeight="1" x14ac:dyDescent="0.2">
      <c r="A132" s="689">
        <v>122</v>
      </c>
      <c r="B132" s="140" t="s">
        <v>206</v>
      </c>
      <c r="C132" s="56" t="s">
        <v>207</v>
      </c>
      <c r="D132" s="363">
        <f>'68.50.50.01-rest dss'!D132+CPFA!D132</f>
        <v>7852.6</v>
      </c>
      <c r="E132" s="303">
        <f>'68.50.50.01-rest dss'!E132+CPFA!E132</f>
        <v>0</v>
      </c>
      <c r="F132" s="364">
        <f>'68.50.50.01-rest dss'!F132+CPFA!F132</f>
        <v>4013.6</v>
      </c>
      <c r="G132" s="364">
        <f>'68.50.50.01-rest dss'!G132+CPFA!G132</f>
        <v>3030</v>
      </c>
      <c r="H132" s="364">
        <f>'68.50.50.01-rest dss'!H132+CPFA!H132</f>
        <v>437</v>
      </c>
      <c r="I132" s="364">
        <f>'68.50.50.01-rest dss'!I132+CPFA!I132</f>
        <v>546.6</v>
      </c>
      <c r="J132" s="364">
        <f>'68.50.50.01-rest dss'!J132+CPFA!J132</f>
        <v>0</v>
      </c>
      <c r="K132" s="979">
        <f>'68.50.50.01-rest dss'!K132+CPFA!K132</f>
        <v>3839</v>
      </c>
      <c r="L132" s="364">
        <f>'68.50.50.01-rest dss'!L132+CPFA!L132</f>
        <v>0</v>
      </c>
      <c r="M132" s="980">
        <f>'68.50.50.01-rest dss'!M132+CPFA!M132</f>
        <v>0</v>
      </c>
    </row>
    <row r="133" spans="1:15" s="4" customFormat="1" ht="12.75" customHeight="1" x14ac:dyDescent="0.2">
      <c r="A133" s="689">
        <v>123</v>
      </c>
      <c r="B133" s="55" t="s">
        <v>208</v>
      </c>
      <c r="C133" s="75">
        <v>71</v>
      </c>
      <c r="D133" s="363">
        <f>'68.50.50.01-rest dss'!D133+CPFA!D133</f>
        <v>7852.6</v>
      </c>
      <c r="E133" s="303">
        <f>'68.50.50.01-rest dss'!E133+CPFA!E133</f>
        <v>0</v>
      </c>
      <c r="F133" s="364">
        <f>'68.50.50.01-rest dss'!F133+CPFA!F133</f>
        <v>4013.6</v>
      </c>
      <c r="G133" s="364">
        <f>'68.50.50.01-rest dss'!G133+CPFA!G133</f>
        <v>3030</v>
      </c>
      <c r="H133" s="364">
        <f>'68.50.50.01-rest dss'!H133+CPFA!H133</f>
        <v>437</v>
      </c>
      <c r="I133" s="364">
        <f>'68.50.50.01-rest dss'!I133+CPFA!I133</f>
        <v>546.6</v>
      </c>
      <c r="J133" s="364">
        <f>'68.50.50.01-rest dss'!J133+CPFA!J133</f>
        <v>0</v>
      </c>
      <c r="K133" s="979">
        <f>'68.50.50.01-rest dss'!K133+CPFA!K133</f>
        <v>3839</v>
      </c>
      <c r="L133" s="364">
        <f>'68.50.50.01-rest dss'!L133+CPFA!L133</f>
        <v>0</v>
      </c>
      <c r="M133" s="980">
        <f>'68.50.50.01-rest dss'!M133+CPFA!M133</f>
        <v>0</v>
      </c>
    </row>
    <row r="134" spans="1:15" s="4" customFormat="1" ht="12.75" customHeight="1" x14ac:dyDescent="0.2">
      <c r="A134" s="689">
        <v>124</v>
      </c>
      <c r="B134" s="55" t="s">
        <v>209</v>
      </c>
      <c r="C134" s="75" t="s">
        <v>210</v>
      </c>
      <c r="D134" s="363">
        <f>'68.50.50.01-rest dss'!D134+CPFA!D134</f>
        <v>7852.6</v>
      </c>
      <c r="E134" s="303">
        <f>'68.50.50.01-rest dss'!E134+CPFA!E134</f>
        <v>0</v>
      </c>
      <c r="F134" s="365">
        <f>'68.50.50.01-rest dss'!F134+CPFA!F134</f>
        <v>4013.6</v>
      </c>
      <c r="G134" s="365">
        <f>'68.50.50.01-rest dss'!G134+CPFA!G134</f>
        <v>3030</v>
      </c>
      <c r="H134" s="365">
        <f>'68.50.50.01-rest dss'!H134+CPFA!H134</f>
        <v>437</v>
      </c>
      <c r="I134" s="365">
        <f>'68.50.50.01-rest dss'!I134+CPFA!I134</f>
        <v>546.6</v>
      </c>
      <c r="J134" s="365">
        <f>'68.50.50.01-rest dss'!J134+CPFA!J134</f>
        <v>0</v>
      </c>
      <c r="K134" s="979"/>
      <c r="L134" s="364"/>
      <c r="M134" s="980"/>
    </row>
    <row r="135" spans="1:15" s="4" customFormat="1" ht="12.75" customHeight="1" x14ac:dyDescent="0.2">
      <c r="A135" s="689">
        <v>125</v>
      </c>
      <c r="B135" s="59" t="s">
        <v>211</v>
      </c>
      <c r="C135" s="142" t="s">
        <v>212</v>
      </c>
      <c r="D135" s="363">
        <f>'68.50.50.01-rest dss'!D135+CPFA!D135</f>
        <v>7281</v>
      </c>
      <c r="E135" s="363">
        <f>'68.50.50.01-rest dss'!E135+CPFA!E135</f>
        <v>0</v>
      </c>
      <c r="F135" s="365">
        <f>'68.50.50.01-rest dss'!F135+CPFA!F135</f>
        <v>3442</v>
      </c>
      <c r="G135" s="365">
        <f>'68.50.50.01-rest dss'!G135+CPFA!G135</f>
        <v>3010</v>
      </c>
      <c r="H135" s="365">
        <f>'68.50.50.01-rest dss'!H135+CPFA!H135</f>
        <v>0</v>
      </c>
      <c r="I135" s="365">
        <f>'68.50.50.01-rest dss'!I135+CPFA!I135</f>
        <v>432</v>
      </c>
      <c r="J135" s="365">
        <f>'68.50.50.01-rest dss'!J135+CPFA!J135</f>
        <v>0</v>
      </c>
      <c r="K135" s="979"/>
      <c r="L135" s="364"/>
      <c r="M135" s="980"/>
    </row>
    <row r="136" spans="1:15" s="4" customFormat="1" ht="12.75" customHeight="1" x14ac:dyDescent="0.2">
      <c r="A136" s="689">
        <v>126</v>
      </c>
      <c r="B136" s="74" t="s">
        <v>213</v>
      </c>
      <c r="C136" s="142" t="s">
        <v>214</v>
      </c>
      <c r="D136" s="363">
        <f>'68.50.50.01-rest dss'!D136+CPFA!D136</f>
        <v>451.1</v>
      </c>
      <c r="E136" s="303">
        <f>'68.50.50.01-rest dss'!E136+CPFA!E136</f>
        <v>0</v>
      </c>
      <c r="F136" s="365">
        <f>'68.50.50.01-rest dss'!F136+CPFA!F136</f>
        <v>451.1</v>
      </c>
      <c r="G136" s="365">
        <f>'68.50.50.01-rest dss'!G136+CPFA!G136</f>
        <v>0</v>
      </c>
      <c r="H136" s="365">
        <f>'68.50.50.01-rest dss'!H136+CPFA!H136</f>
        <v>378</v>
      </c>
      <c r="I136" s="365">
        <f>'68.50.50.01-rest dss'!I136+CPFA!I136</f>
        <v>73.099999999999994</v>
      </c>
      <c r="J136" s="365">
        <f>'68.50.50.01-rest dss'!J136+CPFA!J136</f>
        <v>0</v>
      </c>
      <c r="K136" s="371"/>
      <c r="L136" s="43"/>
      <c r="M136" s="771"/>
    </row>
    <row r="137" spans="1:15" s="4" customFormat="1" ht="12.75" hidden="1" customHeight="1" x14ac:dyDescent="0.2">
      <c r="A137" s="689">
        <v>127</v>
      </c>
      <c r="B137" s="74" t="s">
        <v>213</v>
      </c>
      <c r="C137" s="142" t="s">
        <v>214</v>
      </c>
      <c r="D137" s="363">
        <f>'68.50.50.01-rest dss'!D137+CPFA!D137</f>
        <v>0</v>
      </c>
      <c r="E137" s="363">
        <f>'68.50.50.01-rest dss'!E137+CPFA!E137</f>
        <v>0</v>
      </c>
      <c r="F137" s="365">
        <f>'68.50.50.01-rest dss'!F137+CPFA!F137</f>
        <v>0</v>
      </c>
      <c r="G137" s="365">
        <f>'68.50.50.01-rest dss'!G137+CPFA!G137</f>
        <v>0</v>
      </c>
      <c r="H137" s="365">
        <f>'68.50.50.01-rest dss'!H137+CPFA!H137</f>
        <v>0</v>
      </c>
      <c r="I137" s="365">
        <f>'68.50.50.01-rest dss'!I137+CPFA!I137</f>
        <v>0</v>
      </c>
      <c r="J137" s="365">
        <f>'68.50.50.01-rest dss'!J137+CPFA!J137</f>
        <v>0</v>
      </c>
      <c r="K137" s="371"/>
      <c r="L137" s="43"/>
      <c r="M137" s="771"/>
    </row>
    <row r="138" spans="1:15" s="4" customFormat="1" ht="12.75" customHeight="1" x14ac:dyDescent="0.2">
      <c r="A138" s="689">
        <v>128</v>
      </c>
      <c r="B138" s="40" t="s">
        <v>216</v>
      </c>
      <c r="C138" s="142" t="s">
        <v>217</v>
      </c>
      <c r="D138" s="363">
        <f>'68.50.50.01-rest dss'!D138+CPFA!D138</f>
        <v>52.2</v>
      </c>
      <c r="E138" s="303">
        <f>'68.50.50.01-rest dss'!E138+CPFA!E138</f>
        <v>0</v>
      </c>
      <c r="F138" s="365">
        <f>'68.50.50.01-rest dss'!F138+CPFA!F138</f>
        <v>52.2</v>
      </c>
      <c r="G138" s="365">
        <f>'68.50.50.01-rest dss'!G138+CPFA!G138</f>
        <v>20</v>
      </c>
      <c r="H138" s="365">
        <f>'68.50.50.01-rest dss'!H138+CPFA!H138</f>
        <v>0</v>
      </c>
      <c r="I138" s="365">
        <f>'68.50.50.01-rest dss'!I138+CPFA!I138</f>
        <v>32.200000000000003</v>
      </c>
      <c r="J138" s="365">
        <f>'68.50.50.01-rest dss'!J138+CPFA!J138</f>
        <v>0</v>
      </c>
      <c r="K138" s="371"/>
      <c r="L138" s="43"/>
      <c r="M138" s="771"/>
    </row>
    <row r="139" spans="1:15" s="4" customFormat="1" ht="13.5" customHeight="1" thickBot="1" x14ac:dyDescent="0.25">
      <c r="A139" s="689">
        <v>129</v>
      </c>
      <c r="B139" s="883" t="s">
        <v>218</v>
      </c>
      <c r="C139" s="695" t="s">
        <v>219</v>
      </c>
      <c r="D139" s="884">
        <f>'68.50.50.01-rest dss'!D139+CPFA!D139</f>
        <v>68.3</v>
      </c>
      <c r="E139" s="884">
        <f>'68.50.50.01-rest dss'!E139+CPFA!E139</f>
        <v>0</v>
      </c>
      <c r="F139" s="365">
        <f>'68.50.50.01-rest dss'!F139+CPFA!F139</f>
        <v>68.3</v>
      </c>
      <c r="G139" s="821">
        <f>'68.50.50.01-rest dss'!G139+CPFA!G139</f>
        <v>0</v>
      </c>
      <c r="H139" s="821">
        <f>'68.50.50.01-rest dss'!H139+CPFA!H139</f>
        <v>59</v>
      </c>
      <c r="I139" s="821">
        <f>'68.50.50.01-rest dss'!I139+CPFA!I139</f>
        <v>9.3000000000000007</v>
      </c>
      <c r="J139" s="885">
        <f>'68.50.50.01-rest dss'!J139+CPFA!J139</f>
        <v>0</v>
      </c>
      <c r="K139" s="886"/>
      <c r="L139" s="876"/>
      <c r="M139" s="887"/>
    </row>
    <row r="140" spans="1:15" ht="12.75" customHeight="1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56"/>
      <c r="K143" s="1132" t="s">
        <v>388</v>
      </c>
      <c r="L143" s="1132"/>
      <c r="M143" s="1132"/>
      <c r="N143" s="1132"/>
      <c r="O143" s="6"/>
    </row>
    <row r="144" spans="1:15" ht="12.75" customHeight="1" x14ac:dyDescent="0.2">
      <c r="J144" s="305"/>
      <c r="K144" s="152" t="s">
        <v>389</v>
      </c>
      <c r="L144" s="4"/>
      <c r="M144" s="4"/>
      <c r="N144" s="4"/>
    </row>
  </sheetData>
  <sheetProtection selectLockedCells="1" selectUnlockedCells="1"/>
  <mergeCells count="13">
    <mergeCell ref="D9:D10"/>
    <mergeCell ref="E9:E10"/>
    <mergeCell ref="F9:F10"/>
    <mergeCell ref="G9:J9"/>
    <mergeCell ref="K9:M9"/>
    <mergeCell ref="K143:N143"/>
    <mergeCell ref="B5:M5"/>
    <mergeCell ref="B6:M6"/>
    <mergeCell ref="C7:F7"/>
    <mergeCell ref="A8:B8"/>
    <mergeCell ref="A9:A10"/>
    <mergeCell ref="B9:B10"/>
    <mergeCell ref="C9:C10"/>
  </mergeCells>
  <printOptions horizontalCentered="1"/>
  <pageMargins left="0.31496062992125984" right="0.31496062992125984" top="0.39370078740157483" bottom="0.19685039370078741" header="0.51181102362204722" footer="0.51181102362204722"/>
  <pageSetup paperSize="9" scale="90" firstPageNumber="0" orientation="landscape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5217-D1E4-4405-B8DD-ABEE5B7FFA6C}">
  <sheetPr>
    <pageSetUpPr fitToPage="1"/>
  </sheetPr>
  <dimension ref="A1:S144"/>
  <sheetViews>
    <sheetView topLeftCell="A92" zoomScale="90" zoomScaleNormal="90" workbookViewId="0">
      <selection activeCell="D118" sqref="D118"/>
    </sheetView>
  </sheetViews>
  <sheetFormatPr defaultRowHeight="12.75" customHeight="1" x14ac:dyDescent="0.2"/>
  <cols>
    <col min="1" max="1" width="4.5703125" style="1" customWidth="1"/>
    <col min="2" max="2" width="58.140625" style="2" customWidth="1"/>
    <col min="3" max="3" width="8.5703125" style="1" customWidth="1"/>
    <col min="4" max="4" width="11.140625" style="1" customWidth="1"/>
    <col min="5" max="5" width="9.28515625" style="1" hidden="1" customWidth="1"/>
    <col min="6" max="6" width="10.7109375" style="1" customWidth="1"/>
    <col min="7" max="9" width="8.28515625" style="1" customWidth="1"/>
    <col min="10" max="10" width="8.7109375" style="1" customWidth="1"/>
    <col min="11" max="11" width="8" style="1" customWidth="1"/>
    <col min="12" max="12" width="10.140625" style="1" customWidth="1"/>
    <col min="13" max="13" width="9.42578125" style="1" customWidth="1"/>
    <col min="14" max="16384" width="9.140625" style="1"/>
  </cols>
  <sheetData>
    <row r="1" spans="1:16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6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6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6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6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6" ht="12.75" customHeight="1" x14ac:dyDescent="0.2">
      <c r="B6" s="1119" t="s">
        <v>274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6" ht="12.75" customHeight="1" x14ac:dyDescent="0.2">
      <c r="B7" s="8"/>
      <c r="C7" s="1167" t="s">
        <v>275</v>
      </c>
      <c r="D7" s="1167"/>
      <c r="E7" s="1167"/>
      <c r="F7" s="1167"/>
      <c r="G7" s="9"/>
      <c r="H7" s="9"/>
      <c r="I7" s="9"/>
      <c r="J7" s="9"/>
      <c r="K7" s="9"/>
      <c r="L7" s="9"/>
      <c r="M7" s="9"/>
    </row>
    <row r="8" spans="1:16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6" s="4" customFormat="1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381</v>
      </c>
      <c r="E9" s="1125"/>
      <c r="F9" s="1127" t="s">
        <v>380</v>
      </c>
      <c r="G9" s="1129" t="s">
        <v>12</v>
      </c>
      <c r="H9" s="1129"/>
      <c r="I9" s="1129"/>
      <c r="J9" s="1129"/>
      <c r="K9" s="1130" t="s">
        <v>13</v>
      </c>
      <c r="L9" s="1130"/>
      <c r="M9" s="1131"/>
    </row>
    <row r="10" spans="1:16" s="4" customFormat="1" ht="48" customHeight="1" thickBot="1" x14ac:dyDescent="0.25">
      <c r="A10" s="1135"/>
      <c r="B10" s="1137"/>
      <c r="C10" s="1124"/>
      <c r="D10" s="1126"/>
      <c r="E10" s="1126"/>
      <c r="F10" s="1128"/>
      <c r="G10" s="967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6" s="4" customFormat="1" ht="27" customHeight="1" x14ac:dyDescent="0.2">
      <c r="A11" s="773" t="s">
        <v>18</v>
      </c>
      <c r="B11" s="17" t="s">
        <v>19</v>
      </c>
      <c r="C11" s="18"/>
      <c r="D11" s="20">
        <f>D12+D118</f>
        <v>7852.6</v>
      </c>
      <c r="E11" s="375">
        <f t="shared" ref="E11:J11" si="0">E12+E118</f>
        <v>0</v>
      </c>
      <c r="F11" s="375">
        <f t="shared" si="0"/>
        <v>36936.6</v>
      </c>
      <c r="G11" s="375">
        <f t="shared" si="0"/>
        <v>11710</v>
      </c>
      <c r="H11" s="375">
        <f t="shared" si="0"/>
        <v>8232</v>
      </c>
      <c r="I11" s="375">
        <f t="shared" si="0"/>
        <v>8454.6</v>
      </c>
      <c r="J11" s="375">
        <f t="shared" si="0"/>
        <v>8540</v>
      </c>
      <c r="K11" s="982">
        <f>K12+K132</f>
        <v>37790.295600000005</v>
      </c>
      <c r="L11" s="982">
        <f>L12+L132</f>
        <v>34057.4663</v>
      </c>
      <c r="M11" s="983">
        <f>M12+M132</f>
        <v>34119.791299999997</v>
      </c>
    </row>
    <row r="12" spans="1:16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376">
        <f t="shared" ref="E12:J12" si="1">E13</f>
        <v>0</v>
      </c>
      <c r="F12" s="376">
        <f t="shared" si="1"/>
        <v>32923</v>
      </c>
      <c r="G12" s="376">
        <f t="shared" si="1"/>
        <v>8680</v>
      </c>
      <c r="H12" s="376">
        <f t="shared" si="1"/>
        <v>7795</v>
      </c>
      <c r="I12" s="376">
        <f t="shared" si="1"/>
        <v>7908</v>
      </c>
      <c r="J12" s="376">
        <f t="shared" si="1"/>
        <v>8540</v>
      </c>
      <c r="K12" s="984">
        <f>K13</f>
        <v>33951.295600000005</v>
      </c>
      <c r="L12" s="985">
        <f>L13</f>
        <v>34057.4663</v>
      </c>
      <c r="M12" s="986">
        <f>M13</f>
        <v>34119.791299999997</v>
      </c>
    </row>
    <row r="13" spans="1:16" s="4" customFormat="1" ht="12.75" customHeight="1" x14ac:dyDescent="0.2">
      <c r="A13" s="689">
        <v>3</v>
      </c>
      <c r="B13" s="157" t="s">
        <v>21</v>
      </c>
      <c r="C13" s="75" t="s">
        <v>22</v>
      </c>
      <c r="D13" s="53">
        <f>D14+D34+D92+D112</f>
        <v>0</v>
      </c>
      <c r="E13" s="377">
        <f t="shared" ref="E13:J13" si="2">E14+E34+E92+E112</f>
        <v>0</v>
      </c>
      <c r="F13" s="377">
        <f t="shared" si="2"/>
        <v>32923</v>
      </c>
      <c r="G13" s="377">
        <f t="shared" si="2"/>
        <v>8680</v>
      </c>
      <c r="H13" s="377">
        <f t="shared" si="2"/>
        <v>7795</v>
      </c>
      <c r="I13" s="377">
        <f t="shared" si="2"/>
        <v>7908</v>
      </c>
      <c r="J13" s="377">
        <f t="shared" si="2"/>
        <v>8540</v>
      </c>
      <c r="K13" s="979">
        <f>K14+K34+K92+K112</f>
        <v>33951.295600000005</v>
      </c>
      <c r="L13" s="987">
        <f>L14+L34+L92+L112</f>
        <v>34057.4663</v>
      </c>
      <c r="M13" s="988">
        <f>M14+M34+M92+M112</f>
        <v>34119.791299999997</v>
      </c>
    </row>
    <row r="14" spans="1:16" s="4" customFormat="1" ht="12.75" customHeight="1" x14ac:dyDescent="0.2">
      <c r="A14" s="689">
        <v>4</v>
      </c>
      <c r="B14" s="160" t="s">
        <v>23</v>
      </c>
      <c r="C14" s="161" t="s">
        <v>24</v>
      </c>
      <c r="D14" s="53">
        <f>D15+D26+D23</f>
        <v>0</v>
      </c>
      <c r="E14" s="53">
        <f t="shared" ref="E14:J14" si="3">E15+E26+E23</f>
        <v>0</v>
      </c>
      <c r="F14" s="377">
        <f t="shared" si="3"/>
        <v>19458</v>
      </c>
      <c r="G14" s="377">
        <f t="shared" si="3"/>
        <v>4860</v>
      </c>
      <c r="H14" s="377">
        <f t="shared" si="3"/>
        <v>5247</v>
      </c>
      <c r="I14" s="377">
        <f t="shared" si="3"/>
        <v>4758</v>
      </c>
      <c r="J14" s="377">
        <f t="shared" si="3"/>
        <v>4593</v>
      </c>
      <c r="K14" s="57">
        <f>F14*104.97%</f>
        <v>20425.062600000001</v>
      </c>
      <c r="L14" s="163">
        <f>F14*105.27%</f>
        <v>20483.436600000001</v>
      </c>
      <c r="M14" s="681">
        <f>F14*105.43%</f>
        <v>20514.5694</v>
      </c>
      <c r="O14" s="51">
        <f>K14+K34+K92+K112</f>
        <v>33951.295600000005</v>
      </c>
      <c r="P14" s="51">
        <f>O14+K132</f>
        <v>37790.295600000005</v>
      </c>
    </row>
    <row r="15" spans="1:16" s="4" customFormat="1" ht="12.75" customHeight="1" x14ac:dyDescent="0.2">
      <c r="A15" s="689">
        <v>5</v>
      </c>
      <c r="B15" s="55" t="s">
        <v>25</v>
      </c>
      <c r="C15" s="161" t="s">
        <v>26</v>
      </c>
      <c r="D15" s="53">
        <f>D16+D17+D18+D21+D25</f>
        <v>0</v>
      </c>
      <c r="E15" s="53">
        <f>E16+E17+E18+E21+E25+E20</f>
        <v>0</v>
      </c>
      <c r="F15" s="364">
        <f>F16+F17+F18+F19+F20+F21</f>
        <v>18894</v>
      </c>
      <c r="G15" s="364">
        <f>G16+G17+G18+G19+G20+G21</f>
        <v>4757</v>
      </c>
      <c r="H15" s="364">
        <f>H16+H17+H18+H19+H20+H21</f>
        <v>5012</v>
      </c>
      <c r="I15" s="364">
        <f>I16+I17+I18+I19+I20+I21</f>
        <v>4644</v>
      </c>
      <c r="J15" s="364">
        <f>J16+J17+J18+J19+J20+J21</f>
        <v>4481</v>
      </c>
      <c r="K15" s="57"/>
      <c r="L15" s="163"/>
      <c r="M15" s="681"/>
    </row>
    <row r="16" spans="1:16" s="4" customFormat="1" ht="12.75" customHeight="1" x14ac:dyDescent="0.2">
      <c r="A16" s="689">
        <v>6</v>
      </c>
      <c r="B16" s="40" t="s">
        <v>27</v>
      </c>
      <c r="C16" s="41" t="s">
        <v>28</v>
      </c>
      <c r="D16" s="42">
        <v>0</v>
      </c>
      <c r="E16" s="42">
        <v>0</v>
      </c>
      <c r="F16" s="365">
        <f t="shared" ref="F16:F21" si="4">G16+H16+I16+J16</f>
        <v>17037</v>
      </c>
      <c r="G16" s="365">
        <v>4121</v>
      </c>
      <c r="H16" s="365">
        <f>4123+180</f>
        <v>4303</v>
      </c>
      <c r="I16" s="365">
        <f>4123+180</f>
        <v>4303</v>
      </c>
      <c r="J16" s="365">
        <f>4670-360</f>
        <v>4310</v>
      </c>
      <c r="K16" s="45"/>
      <c r="L16" s="165"/>
      <c r="M16" s="682"/>
    </row>
    <row r="17" spans="1:16" s="4" customFormat="1" ht="12.75" customHeight="1" x14ac:dyDescent="0.2">
      <c r="A17" s="689">
        <v>7</v>
      </c>
      <c r="B17" s="40" t="s">
        <v>29</v>
      </c>
      <c r="C17" s="41" t="s">
        <v>30</v>
      </c>
      <c r="D17" s="42">
        <v>0</v>
      </c>
      <c r="E17" s="42">
        <v>0</v>
      </c>
      <c r="F17" s="365">
        <f t="shared" si="4"/>
        <v>1189</v>
      </c>
      <c r="G17" s="365">
        <v>474</v>
      </c>
      <c r="H17" s="365">
        <f>497+45</f>
        <v>542</v>
      </c>
      <c r="I17" s="365">
        <f>497+45-369</f>
        <v>173</v>
      </c>
      <c r="J17" s="365">
        <f>542-90-452</f>
        <v>0</v>
      </c>
      <c r="K17" s="45"/>
      <c r="L17" s="165"/>
      <c r="M17" s="682"/>
      <c r="P17" s="48"/>
    </row>
    <row r="18" spans="1:16" s="4" customFormat="1" ht="12.75" customHeight="1" x14ac:dyDescent="0.2">
      <c r="A18" s="689">
        <v>8</v>
      </c>
      <c r="B18" s="40" t="s">
        <v>31</v>
      </c>
      <c r="C18" s="41" t="s">
        <v>32</v>
      </c>
      <c r="D18" s="42">
        <v>0</v>
      </c>
      <c r="E18" s="42">
        <v>0</v>
      </c>
      <c r="F18" s="365">
        <f t="shared" si="4"/>
        <v>87</v>
      </c>
      <c r="G18" s="365">
        <v>22</v>
      </c>
      <c r="H18" s="365">
        <v>21</v>
      </c>
      <c r="I18" s="365">
        <f>21+1</f>
        <v>22</v>
      </c>
      <c r="J18" s="365">
        <f>21+1</f>
        <v>22</v>
      </c>
      <c r="K18" s="45"/>
      <c r="L18" s="165"/>
      <c r="M18" s="682"/>
      <c r="P18" s="48"/>
    </row>
    <row r="19" spans="1:16" s="4" customFormat="1" ht="13.15" hidden="1" customHeight="1" x14ac:dyDescent="0.2">
      <c r="A19" s="689">
        <v>9</v>
      </c>
      <c r="B19" s="320" t="s">
        <v>33</v>
      </c>
      <c r="C19" s="7" t="s">
        <v>34</v>
      </c>
      <c r="D19" s="321"/>
      <c r="E19" s="321"/>
      <c r="F19" s="365">
        <f t="shared" si="4"/>
        <v>0</v>
      </c>
      <c r="G19" s="365"/>
      <c r="H19" s="365"/>
      <c r="I19" s="365"/>
      <c r="J19" s="365"/>
      <c r="K19" s="45"/>
      <c r="L19" s="165"/>
      <c r="M19" s="682"/>
      <c r="P19" s="48"/>
    </row>
    <row r="20" spans="1:16" s="4" customFormat="1" ht="13.15" customHeight="1" x14ac:dyDescent="0.2">
      <c r="A20" s="691">
        <v>10</v>
      </c>
      <c r="B20" s="937" t="s">
        <v>333</v>
      </c>
      <c r="C20" s="765" t="s">
        <v>334</v>
      </c>
      <c r="D20" s="766">
        <v>0</v>
      </c>
      <c r="E20" s="766">
        <v>0</v>
      </c>
      <c r="F20" s="808">
        <f t="shared" si="4"/>
        <v>8</v>
      </c>
      <c r="G20" s="808">
        <v>2</v>
      </c>
      <c r="H20" s="808">
        <v>2</v>
      </c>
      <c r="I20" s="808">
        <v>2</v>
      </c>
      <c r="J20" s="808">
        <v>2</v>
      </c>
      <c r="K20" s="45"/>
      <c r="L20" s="165"/>
      <c r="M20" s="682"/>
      <c r="P20" s="48"/>
    </row>
    <row r="21" spans="1:16" s="4" customFormat="1" ht="12.75" customHeight="1" x14ac:dyDescent="0.2">
      <c r="A21" s="689">
        <v>11</v>
      </c>
      <c r="B21" s="40" t="s">
        <v>37</v>
      </c>
      <c r="C21" s="41" t="s">
        <v>38</v>
      </c>
      <c r="D21" s="42">
        <v>0</v>
      </c>
      <c r="E21" s="42">
        <v>0</v>
      </c>
      <c r="F21" s="365">
        <f t="shared" si="4"/>
        <v>573</v>
      </c>
      <c r="G21" s="365">
        <v>138</v>
      </c>
      <c r="H21" s="365">
        <v>144</v>
      </c>
      <c r="I21" s="365">
        <v>144</v>
      </c>
      <c r="J21" s="365">
        <v>147</v>
      </c>
      <c r="K21" s="45"/>
      <c r="L21" s="165"/>
      <c r="M21" s="682"/>
      <c r="P21" s="48"/>
    </row>
    <row r="22" spans="1:16" s="4" customFormat="1" ht="13.15" hidden="1" customHeight="1" x14ac:dyDescent="0.2">
      <c r="A22" s="691">
        <v>12</v>
      </c>
      <c r="B22" s="40" t="s">
        <v>39</v>
      </c>
      <c r="C22" s="41" t="s">
        <v>40</v>
      </c>
      <c r="D22" s="42"/>
      <c r="E22" s="42"/>
      <c r="F22" s="365"/>
      <c r="G22" s="365"/>
      <c r="H22" s="365"/>
      <c r="I22" s="365"/>
      <c r="J22" s="365"/>
      <c r="K22" s="45"/>
      <c r="L22" s="165"/>
      <c r="M22" s="682"/>
      <c r="P22" s="48"/>
    </row>
    <row r="23" spans="1:16" s="4" customFormat="1" ht="12.75" customHeight="1" x14ac:dyDescent="0.2">
      <c r="A23" s="689">
        <v>13</v>
      </c>
      <c r="B23" s="40" t="s">
        <v>41</v>
      </c>
      <c r="C23" s="52" t="s">
        <v>42</v>
      </c>
      <c r="D23" s="53">
        <f t="shared" ref="D23:J23" si="5">D24</f>
        <v>0</v>
      </c>
      <c r="E23" s="53">
        <f t="shared" si="5"/>
        <v>0</v>
      </c>
      <c r="F23" s="377">
        <f t="shared" si="5"/>
        <v>121</v>
      </c>
      <c r="G23" s="377">
        <f t="shared" si="5"/>
        <v>0</v>
      </c>
      <c r="H23" s="377">
        <f t="shared" si="5"/>
        <v>121</v>
      </c>
      <c r="I23" s="377">
        <f t="shared" si="5"/>
        <v>0</v>
      </c>
      <c r="J23" s="377">
        <f t="shared" si="5"/>
        <v>0</v>
      </c>
      <c r="K23" s="45"/>
      <c r="L23" s="165"/>
      <c r="M23" s="682"/>
      <c r="P23" s="48"/>
    </row>
    <row r="24" spans="1:16" s="4" customFormat="1" ht="12.75" customHeight="1" x14ac:dyDescent="0.2">
      <c r="A24" s="691">
        <v>14</v>
      </c>
      <c r="B24" s="40" t="s">
        <v>43</v>
      </c>
      <c r="C24" s="54" t="s">
        <v>44</v>
      </c>
      <c r="D24" s="42">
        <v>0</v>
      </c>
      <c r="E24" s="42">
        <v>0</v>
      </c>
      <c r="F24" s="365">
        <f>G24+H24+I24+J24</f>
        <v>121</v>
      </c>
      <c r="G24" s="365">
        <v>0</v>
      </c>
      <c r="H24" s="365">
        <v>121</v>
      </c>
      <c r="I24" s="365">
        <v>0</v>
      </c>
      <c r="J24" s="365">
        <v>0</v>
      </c>
      <c r="K24" s="45"/>
      <c r="L24" s="165"/>
      <c r="M24" s="682"/>
      <c r="P24" s="48"/>
    </row>
    <row r="25" spans="1:16" s="4" customFormat="1" ht="12.75" hidden="1" customHeight="1" x14ac:dyDescent="0.2">
      <c r="A25" s="689">
        <v>15</v>
      </c>
      <c r="B25" s="40" t="s">
        <v>230</v>
      </c>
      <c r="C25" s="54" t="s">
        <v>231</v>
      </c>
      <c r="D25" s="42">
        <v>0</v>
      </c>
      <c r="E25" s="42">
        <v>0</v>
      </c>
      <c r="F25" s="365">
        <f>G25+H25+I25+J25</f>
        <v>0</v>
      </c>
      <c r="G25" s="365">
        <v>0</v>
      </c>
      <c r="H25" s="365">
        <v>0</v>
      </c>
      <c r="I25" s="365">
        <v>0</v>
      </c>
      <c r="J25" s="365">
        <v>0</v>
      </c>
      <c r="K25" s="45"/>
      <c r="L25" s="165"/>
      <c r="M25" s="682"/>
      <c r="P25" s="48"/>
    </row>
    <row r="26" spans="1:16" s="4" customFormat="1" ht="12.75" customHeight="1" x14ac:dyDescent="0.2">
      <c r="A26" s="691">
        <v>16</v>
      </c>
      <c r="B26" s="55" t="s">
        <v>45</v>
      </c>
      <c r="C26" s="52" t="s">
        <v>46</v>
      </c>
      <c r="D26" s="53">
        <f>D27+D28+D29+D30+D31+D32</f>
        <v>0</v>
      </c>
      <c r="E26" s="53">
        <f>E27+E28+E29+E30+E31+E32</f>
        <v>0</v>
      </c>
      <c r="F26" s="364">
        <f>F27+F28+F29+F30+F31+F32+F33</f>
        <v>443</v>
      </c>
      <c r="G26" s="364">
        <f>G27+G28+G29+G30+G31+G32+G33</f>
        <v>103</v>
      </c>
      <c r="H26" s="364">
        <f>H27+H28+H29+H30+H31+H32+H33</f>
        <v>114</v>
      </c>
      <c r="I26" s="364">
        <f>I27+I28+I29+I30+I31+I32+I33</f>
        <v>114</v>
      </c>
      <c r="J26" s="364">
        <f>J27+J28+J29+J30+J31+J32+J33</f>
        <v>112</v>
      </c>
      <c r="K26" s="57"/>
      <c r="L26" s="163"/>
      <c r="M26" s="681"/>
    </row>
    <row r="27" spans="1:16" s="4" customFormat="1" ht="12.75" hidden="1" customHeight="1" x14ac:dyDescent="0.2">
      <c r="A27" s="689">
        <v>17</v>
      </c>
      <c r="B27" s="59" t="s">
        <v>47</v>
      </c>
      <c r="C27" s="41" t="s">
        <v>48</v>
      </c>
      <c r="D27" s="42">
        <v>0</v>
      </c>
      <c r="E27" s="42">
        <v>0</v>
      </c>
      <c r="F27" s="365">
        <f t="shared" ref="F27:F33" si="6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165"/>
      <c r="M27" s="682"/>
    </row>
    <row r="28" spans="1:16" s="4" customFormat="1" ht="12.75" hidden="1" customHeight="1" x14ac:dyDescent="0.2">
      <c r="A28" s="691">
        <v>18</v>
      </c>
      <c r="B28" s="59" t="s">
        <v>49</v>
      </c>
      <c r="C28" s="41" t="s">
        <v>50</v>
      </c>
      <c r="D28" s="42">
        <v>0</v>
      </c>
      <c r="E28" s="42">
        <v>0</v>
      </c>
      <c r="F28" s="365">
        <f t="shared" si="6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165"/>
      <c r="M28" s="682"/>
    </row>
    <row r="29" spans="1:16" s="4" customFormat="1" ht="12.75" hidden="1" customHeight="1" x14ac:dyDescent="0.2">
      <c r="A29" s="689">
        <v>19</v>
      </c>
      <c r="B29" s="59" t="s">
        <v>51</v>
      </c>
      <c r="C29" s="41" t="s">
        <v>52</v>
      </c>
      <c r="D29" s="42">
        <v>0</v>
      </c>
      <c r="E29" s="42">
        <v>0</v>
      </c>
      <c r="F29" s="365">
        <f t="shared" si="6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165"/>
      <c r="M29" s="682"/>
    </row>
    <row r="30" spans="1:16" s="4" customFormat="1" ht="15" hidden="1" customHeight="1" x14ac:dyDescent="0.2">
      <c r="A30" s="691">
        <v>20</v>
      </c>
      <c r="B30" s="60" t="s">
        <v>53</v>
      </c>
      <c r="C30" s="61" t="s">
        <v>54</v>
      </c>
      <c r="D30" s="42">
        <v>0</v>
      </c>
      <c r="E30" s="42">
        <v>0</v>
      </c>
      <c r="F30" s="365">
        <f t="shared" si="6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165"/>
      <c r="M30" s="682"/>
    </row>
    <row r="31" spans="1:16" s="4" customFormat="1" ht="12.75" hidden="1" customHeight="1" x14ac:dyDescent="0.2">
      <c r="A31" s="689">
        <v>21</v>
      </c>
      <c r="B31" s="59" t="s">
        <v>55</v>
      </c>
      <c r="C31" s="41" t="s">
        <v>56</v>
      </c>
      <c r="D31" s="42">
        <v>0</v>
      </c>
      <c r="E31" s="42">
        <v>0</v>
      </c>
      <c r="F31" s="365">
        <f t="shared" si="6"/>
        <v>0</v>
      </c>
      <c r="G31" s="365">
        <v>0</v>
      </c>
      <c r="H31" s="365">
        <v>0</v>
      </c>
      <c r="I31" s="365">
        <v>0</v>
      </c>
      <c r="J31" s="365">
        <v>0</v>
      </c>
      <c r="K31" s="45"/>
      <c r="L31" s="165"/>
      <c r="M31" s="682"/>
    </row>
    <row r="32" spans="1:16" s="4" customFormat="1" ht="12.75" customHeight="1" x14ac:dyDescent="0.2">
      <c r="A32" s="691">
        <v>22</v>
      </c>
      <c r="B32" s="59" t="s">
        <v>57</v>
      </c>
      <c r="C32" s="41" t="s">
        <v>58</v>
      </c>
      <c r="D32" s="42">
        <v>0</v>
      </c>
      <c r="E32" s="42">
        <v>0</v>
      </c>
      <c r="F32" s="365">
        <f>G32+H32+I32+J32</f>
        <v>443</v>
      </c>
      <c r="G32" s="365">
        <v>103</v>
      </c>
      <c r="H32" s="365">
        <f>111+3</f>
        <v>114</v>
      </c>
      <c r="I32" s="365">
        <f>111+3</f>
        <v>114</v>
      </c>
      <c r="J32" s="365">
        <f>118-6</f>
        <v>112</v>
      </c>
      <c r="K32" s="45"/>
      <c r="L32" s="165"/>
      <c r="M32" s="682"/>
    </row>
    <row r="33" spans="1:13" s="4" customFormat="1" ht="12.75" hidden="1" customHeight="1" x14ac:dyDescent="0.2">
      <c r="A33" s="689">
        <v>23</v>
      </c>
      <c r="B33" s="59" t="s">
        <v>59</v>
      </c>
      <c r="C33" s="41" t="s">
        <v>60</v>
      </c>
      <c r="D33" s="42">
        <v>0</v>
      </c>
      <c r="E33" s="42"/>
      <c r="F33" s="365">
        <f t="shared" si="6"/>
        <v>0</v>
      </c>
      <c r="G33" s="365"/>
      <c r="H33" s="365"/>
      <c r="I33" s="365"/>
      <c r="J33" s="365"/>
      <c r="K33" s="45"/>
      <c r="L33" s="165"/>
      <c r="M33" s="682"/>
    </row>
    <row r="34" spans="1:13" s="4" customFormat="1" ht="25.5" customHeight="1" x14ac:dyDescent="0.2">
      <c r="A34" s="691">
        <v>24</v>
      </c>
      <c r="B34" s="169" t="s">
        <v>61</v>
      </c>
      <c r="C34" s="170">
        <v>20</v>
      </c>
      <c r="D34" s="171">
        <f t="shared" ref="D34:J34" si="7">D35+D57+D59+D64+D69+D73+D74+D76</f>
        <v>0</v>
      </c>
      <c r="E34" s="171">
        <f t="shared" si="7"/>
        <v>0</v>
      </c>
      <c r="F34" s="378">
        <f t="shared" si="7"/>
        <v>5146</v>
      </c>
      <c r="G34" s="378">
        <f t="shared" si="7"/>
        <v>1073</v>
      </c>
      <c r="H34" s="378">
        <f t="shared" si="7"/>
        <v>1375</v>
      </c>
      <c r="I34" s="378">
        <f t="shared" si="7"/>
        <v>1419</v>
      </c>
      <c r="J34" s="378">
        <f t="shared" si="7"/>
        <v>1279</v>
      </c>
      <c r="K34" s="979">
        <f>F34*99.25%</f>
        <v>5107.4050000000007</v>
      </c>
      <c r="L34" s="997">
        <f>F34*99.71%</f>
        <v>5131.0766000000003</v>
      </c>
      <c r="M34" s="998">
        <f>F34*99.815%</f>
        <v>5136.4799000000003</v>
      </c>
    </row>
    <row r="35" spans="1:13" s="4" customFormat="1" ht="12.75" customHeight="1" x14ac:dyDescent="0.2">
      <c r="A35" s="689">
        <v>25</v>
      </c>
      <c r="B35" s="160" t="s">
        <v>62</v>
      </c>
      <c r="C35" s="56" t="s">
        <v>63</v>
      </c>
      <c r="D35" s="53">
        <f>D36+D40+D43+D44+D45+D47+D50+D53</f>
        <v>0</v>
      </c>
      <c r="E35" s="53">
        <f t="shared" ref="E35:J35" si="8">E36+E40+E43+E44+E45+E47+E50+E53</f>
        <v>0</v>
      </c>
      <c r="F35" s="377">
        <f t="shared" si="8"/>
        <v>1356</v>
      </c>
      <c r="G35" s="377">
        <f t="shared" si="8"/>
        <v>669</v>
      </c>
      <c r="H35" s="377">
        <f t="shared" si="8"/>
        <v>339</v>
      </c>
      <c r="I35" s="377">
        <f t="shared" si="8"/>
        <v>218</v>
      </c>
      <c r="J35" s="377">
        <f t="shared" si="8"/>
        <v>130</v>
      </c>
      <c r="K35" s="57"/>
      <c r="L35" s="43"/>
      <c r="M35" s="771"/>
    </row>
    <row r="36" spans="1:13" s="4" customFormat="1" ht="12.75" customHeight="1" x14ac:dyDescent="0.2">
      <c r="A36" s="691">
        <v>26</v>
      </c>
      <c r="B36" s="55" t="s">
        <v>64</v>
      </c>
      <c r="C36" s="56" t="s">
        <v>65</v>
      </c>
      <c r="D36" s="53">
        <f>D37+D38</f>
        <v>0</v>
      </c>
      <c r="E36" s="53">
        <f>E37+E38</f>
        <v>0</v>
      </c>
      <c r="F36" s="364">
        <f>F37+F38+F39</f>
        <v>24</v>
      </c>
      <c r="G36" s="364">
        <f>G37+G38+G39</f>
        <v>14</v>
      </c>
      <c r="H36" s="364">
        <f>H37+H38+H39</f>
        <v>10</v>
      </c>
      <c r="I36" s="364">
        <f>I37+I38+I39</f>
        <v>0</v>
      </c>
      <c r="J36" s="364">
        <f>J37+J38+J39</f>
        <v>0</v>
      </c>
      <c r="K36" s="45"/>
      <c r="L36" s="44"/>
      <c r="M36" s="711"/>
    </row>
    <row r="37" spans="1:13" s="4" customFormat="1" ht="12.75" customHeight="1" x14ac:dyDescent="0.2">
      <c r="A37" s="689">
        <v>27</v>
      </c>
      <c r="B37" s="59" t="s">
        <v>64</v>
      </c>
      <c r="C37" s="41"/>
      <c r="D37" s="42">
        <v>0</v>
      </c>
      <c r="E37" s="42">
        <v>0</v>
      </c>
      <c r="F37" s="365">
        <f>G37+H37+I37+J37</f>
        <v>24</v>
      </c>
      <c r="G37" s="365">
        <f>17-3</f>
        <v>14</v>
      </c>
      <c r="H37" s="365">
        <v>10</v>
      </c>
      <c r="I37" s="365">
        <v>0</v>
      </c>
      <c r="J37" s="365">
        <v>0</v>
      </c>
      <c r="K37" s="45"/>
      <c r="L37" s="44"/>
      <c r="M37" s="711"/>
    </row>
    <row r="38" spans="1:13" s="4" customFormat="1" ht="12.75" hidden="1" customHeight="1" x14ac:dyDescent="0.2">
      <c r="A38" s="691">
        <v>28</v>
      </c>
      <c r="B38" s="59" t="s">
        <v>66</v>
      </c>
      <c r="C38" s="41"/>
      <c r="D38" s="42"/>
      <c r="E38" s="42"/>
      <c r="F38" s="365">
        <f>G38+H38+I38+J38</f>
        <v>0</v>
      </c>
      <c r="G38" s="365">
        <v>0</v>
      </c>
      <c r="H38" s="365">
        <v>0</v>
      </c>
      <c r="I38" s="365">
        <v>0</v>
      </c>
      <c r="J38" s="365">
        <v>0</v>
      </c>
      <c r="K38" s="45"/>
      <c r="L38" s="44"/>
      <c r="M38" s="711"/>
    </row>
    <row r="39" spans="1:13" s="4" customFormat="1" ht="12.75" hidden="1" customHeight="1" x14ac:dyDescent="0.2">
      <c r="A39" s="689">
        <v>29</v>
      </c>
      <c r="B39" s="59" t="s">
        <v>67</v>
      </c>
      <c r="C39" s="41"/>
      <c r="D39" s="42"/>
      <c r="E39" s="42"/>
      <c r="F39" s="365">
        <f>G39+H39+I39+J39</f>
        <v>0</v>
      </c>
      <c r="G39" s="365">
        <v>0</v>
      </c>
      <c r="H39" s="365">
        <v>0</v>
      </c>
      <c r="I39" s="365">
        <v>0</v>
      </c>
      <c r="J39" s="365">
        <v>0</v>
      </c>
      <c r="K39" s="45"/>
      <c r="L39" s="44"/>
      <c r="M39" s="711"/>
    </row>
    <row r="40" spans="1:13" s="4" customFormat="1" ht="12.75" customHeight="1" x14ac:dyDescent="0.2">
      <c r="A40" s="691">
        <v>30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364">
        <f>F41+F42</f>
        <v>4</v>
      </c>
      <c r="G40" s="364">
        <f>G41+G42</f>
        <v>4</v>
      </c>
      <c r="H40" s="364">
        <f>H41+H42</f>
        <v>0</v>
      </c>
      <c r="I40" s="364">
        <f>I41+I42</f>
        <v>0</v>
      </c>
      <c r="J40" s="364">
        <f>J41+J42</f>
        <v>0</v>
      </c>
      <c r="K40" s="45"/>
      <c r="L40" s="44"/>
      <c r="M40" s="711"/>
    </row>
    <row r="41" spans="1:13" s="4" customFormat="1" ht="12.75" customHeight="1" x14ac:dyDescent="0.2">
      <c r="A41" s="689">
        <v>31</v>
      </c>
      <c r="B41" s="59" t="s">
        <v>70</v>
      </c>
      <c r="C41" s="56"/>
      <c r="D41" s="53">
        <v>0</v>
      </c>
      <c r="E41" s="53">
        <v>0</v>
      </c>
      <c r="F41" s="365">
        <f t="shared" ref="F41:F46" si="9">G41+H41+I41+J41</f>
        <v>4</v>
      </c>
      <c r="G41" s="365">
        <v>4</v>
      </c>
      <c r="H41" s="365">
        <v>0</v>
      </c>
      <c r="I41" s="365">
        <v>0</v>
      </c>
      <c r="J41" s="365">
        <v>0</v>
      </c>
      <c r="K41" s="45"/>
      <c r="L41" s="44"/>
      <c r="M41" s="711"/>
    </row>
    <row r="42" spans="1:13" s="4" customFormat="1" ht="12.75" hidden="1" customHeight="1" x14ac:dyDescent="0.2">
      <c r="A42" s="691">
        <v>32</v>
      </c>
      <c r="B42" s="59" t="s">
        <v>71</v>
      </c>
      <c r="C42" s="56"/>
      <c r="D42" s="53"/>
      <c r="E42" s="53"/>
      <c r="F42" s="365">
        <f t="shared" si="9"/>
        <v>0</v>
      </c>
      <c r="G42" s="365">
        <v>0</v>
      </c>
      <c r="H42" s="365">
        <v>0</v>
      </c>
      <c r="I42" s="365">
        <v>0</v>
      </c>
      <c r="J42" s="365">
        <v>0</v>
      </c>
      <c r="K42" s="45"/>
      <c r="L42" s="44"/>
      <c r="M42" s="711"/>
    </row>
    <row r="43" spans="1:13" s="4" customFormat="1" ht="12.75" customHeight="1" x14ac:dyDescent="0.2">
      <c r="A43" s="689">
        <v>33</v>
      </c>
      <c r="B43" s="59" t="s">
        <v>72</v>
      </c>
      <c r="C43" s="41" t="s">
        <v>73</v>
      </c>
      <c r="D43" s="42">
        <v>0</v>
      </c>
      <c r="E43" s="42">
        <v>0</v>
      </c>
      <c r="F43" s="364">
        <f t="shared" si="9"/>
        <v>444</v>
      </c>
      <c r="G43" s="364">
        <v>300</v>
      </c>
      <c r="H43" s="364">
        <f>140+45-100</f>
        <v>85</v>
      </c>
      <c r="I43" s="364">
        <f>100-85</f>
        <v>15</v>
      </c>
      <c r="J43" s="364">
        <f>200-156</f>
        <v>44</v>
      </c>
      <c r="K43" s="45"/>
      <c r="L43" s="44"/>
      <c r="M43" s="711"/>
    </row>
    <row r="44" spans="1:13" s="4" customFormat="1" ht="12.75" customHeight="1" x14ac:dyDescent="0.2">
      <c r="A44" s="691">
        <v>34</v>
      </c>
      <c r="B44" s="59" t="s">
        <v>74</v>
      </c>
      <c r="C44" s="41" t="s">
        <v>75</v>
      </c>
      <c r="D44" s="42">
        <v>0</v>
      </c>
      <c r="E44" s="42">
        <v>0</v>
      </c>
      <c r="F44" s="364">
        <f t="shared" si="9"/>
        <v>144</v>
      </c>
      <c r="G44" s="364">
        <v>70</v>
      </c>
      <c r="H44" s="364">
        <f>60-27</f>
        <v>33</v>
      </c>
      <c r="I44" s="364">
        <f>25+10-25+22</f>
        <v>32</v>
      </c>
      <c r="J44" s="364">
        <f>25+10-26</f>
        <v>9</v>
      </c>
      <c r="K44" s="45"/>
      <c r="L44" s="44"/>
      <c r="M44" s="711"/>
    </row>
    <row r="45" spans="1:13" s="4" customFormat="1" ht="12.75" customHeight="1" x14ac:dyDescent="0.2">
      <c r="A45" s="689">
        <v>35</v>
      </c>
      <c r="B45" s="59" t="s">
        <v>76</v>
      </c>
      <c r="C45" s="41" t="s">
        <v>77</v>
      </c>
      <c r="D45" s="42">
        <v>0</v>
      </c>
      <c r="E45" s="42">
        <v>0</v>
      </c>
      <c r="F45" s="364">
        <f t="shared" si="9"/>
        <v>26</v>
      </c>
      <c r="G45" s="364">
        <v>9</v>
      </c>
      <c r="H45" s="364">
        <v>9</v>
      </c>
      <c r="I45" s="364">
        <f>9-3</f>
        <v>6</v>
      </c>
      <c r="J45" s="364">
        <f>6-4</f>
        <v>2</v>
      </c>
      <c r="K45" s="45"/>
      <c r="L45" s="44"/>
      <c r="M45" s="711"/>
    </row>
    <row r="46" spans="1:13" s="4" customFormat="1" ht="12.75" hidden="1" customHeight="1" x14ac:dyDescent="0.2">
      <c r="A46" s="691">
        <v>36</v>
      </c>
      <c r="B46" s="59" t="s">
        <v>78</v>
      </c>
      <c r="C46" s="41" t="s">
        <v>79</v>
      </c>
      <c r="D46" s="42"/>
      <c r="E46" s="42"/>
      <c r="F46" s="365">
        <f t="shared" si="9"/>
        <v>0</v>
      </c>
      <c r="G46" s="365">
        <v>0</v>
      </c>
      <c r="H46" s="365">
        <v>0</v>
      </c>
      <c r="I46" s="365">
        <v>0</v>
      </c>
      <c r="J46" s="365">
        <v>0</v>
      </c>
      <c r="K46" s="45"/>
      <c r="L46" s="44"/>
      <c r="M46" s="711"/>
    </row>
    <row r="47" spans="1:13" s="4" customFormat="1" ht="12.75" customHeight="1" x14ac:dyDescent="0.2">
      <c r="A47" s="689">
        <v>37</v>
      </c>
      <c r="B47" s="59" t="s">
        <v>80</v>
      </c>
      <c r="C47" s="41" t="s">
        <v>81</v>
      </c>
      <c r="D47" s="53">
        <f t="shared" ref="D47:J47" si="10">D48+D49</f>
        <v>0</v>
      </c>
      <c r="E47" s="53">
        <f t="shared" si="10"/>
        <v>0</v>
      </c>
      <c r="F47" s="364">
        <f t="shared" si="10"/>
        <v>47</v>
      </c>
      <c r="G47" s="364">
        <f t="shared" si="10"/>
        <v>15</v>
      </c>
      <c r="H47" s="364">
        <f t="shared" si="10"/>
        <v>15</v>
      </c>
      <c r="I47" s="364">
        <f t="shared" si="10"/>
        <v>10</v>
      </c>
      <c r="J47" s="364">
        <f t="shared" si="10"/>
        <v>7</v>
      </c>
      <c r="K47" s="45"/>
      <c r="L47" s="44"/>
      <c r="M47" s="711"/>
    </row>
    <row r="48" spans="1:13" s="4" customFormat="1" ht="12.75" customHeight="1" x14ac:dyDescent="0.2">
      <c r="A48" s="691">
        <v>38</v>
      </c>
      <c r="B48" s="59" t="s">
        <v>80</v>
      </c>
      <c r="C48" s="41"/>
      <c r="D48" s="42">
        <v>0</v>
      </c>
      <c r="E48" s="42">
        <v>0</v>
      </c>
      <c r="F48" s="365">
        <f>G48+H48+I48+J48</f>
        <v>47</v>
      </c>
      <c r="G48" s="365">
        <v>15</v>
      </c>
      <c r="H48" s="365">
        <v>15</v>
      </c>
      <c r="I48" s="365">
        <v>10</v>
      </c>
      <c r="J48" s="365">
        <v>7</v>
      </c>
      <c r="K48" s="45"/>
      <c r="L48" s="44"/>
      <c r="M48" s="711"/>
    </row>
    <row r="49" spans="1:19" s="4" customFormat="1" ht="12.75" hidden="1" customHeight="1" x14ac:dyDescent="0.2">
      <c r="A49" s="689">
        <v>39</v>
      </c>
      <c r="B49" s="59" t="s">
        <v>82</v>
      </c>
      <c r="C49" s="41"/>
      <c r="D49" s="42">
        <v>0</v>
      </c>
      <c r="E49" s="42">
        <v>0</v>
      </c>
      <c r="F49" s="365">
        <f>G49+H49+I49+J49</f>
        <v>0</v>
      </c>
      <c r="G49" s="365"/>
      <c r="H49" s="365"/>
      <c r="I49" s="365"/>
      <c r="J49" s="365"/>
      <c r="K49" s="45"/>
      <c r="L49" s="44"/>
      <c r="M49" s="711"/>
    </row>
    <row r="50" spans="1:19" s="4" customFormat="1" ht="12.75" customHeight="1" x14ac:dyDescent="0.2">
      <c r="A50" s="691">
        <v>40</v>
      </c>
      <c r="B50" s="73" t="s">
        <v>83</v>
      </c>
      <c r="C50" s="56" t="s">
        <v>84</v>
      </c>
      <c r="D50" s="53">
        <f t="shared" ref="D50:J50" si="11">D51+D52</f>
        <v>0</v>
      </c>
      <c r="E50" s="53">
        <f t="shared" si="11"/>
        <v>0</v>
      </c>
      <c r="F50" s="364">
        <f t="shared" si="11"/>
        <v>30</v>
      </c>
      <c r="G50" s="364">
        <f t="shared" si="11"/>
        <v>30</v>
      </c>
      <c r="H50" s="364">
        <f t="shared" si="11"/>
        <v>0</v>
      </c>
      <c r="I50" s="364">
        <f t="shared" si="11"/>
        <v>0</v>
      </c>
      <c r="J50" s="364">
        <f t="shared" si="11"/>
        <v>0</v>
      </c>
      <c r="K50" s="45"/>
      <c r="L50" s="44"/>
      <c r="M50" s="711"/>
    </row>
    <row r="51" spans="1:19" s="4" customFormat="1" ht="12.75" customHeight="1" x14ac:dyDescent="0.2">
      <c r="A51" s="689">
        <v>41</v>
      </c>
      <c r="B51" s="74" t="s">
        <v>83</v>
      </c>
      <c r="C51" s="41"/>
      <c r="D51" s="42">
        <v>0</v>
      </c>
      <c r="E51" s="42">
        <v>0</v>
      </c>
      <c r="F51" s="365">
        <f>G51+H51+I51+J51</f>
        <v>25</v>
      </c>
      <c r="G51" s="365">
        <f>29-4</f>
        <v>25</v>
      </c>
      <c r="H51" s="365">
        <v>0</v>
      </c>
      <c r="I51" s="365">
        <v>0</v>
      </c>
      <c r="J51" s="365">
        <v>0</v>
      </c>
      <c r="K51" s="45"/>
      <c r="L51" s="44"/>
      <c r="M51" s="711"/>
    </row>
    <row r="52" spans="1:19" s="4" customFormat="1" ht="12.75" customHeight="1" x14ac:dyDescent="0.2">
      <c r="A52" s="691">
        <v>42</v>
      </c>
      <c r="B52" s="74" t="s">
        <v>85</v>
      </c>
      <c r="C52" s="41"/>
      <c r="D52" s="42">
        <v>0</v>
      </c>
      <c r="E52" s="42">
        <v>0</v>
      </c>
      <c r="F52" s="365">
        <f>G52+H52+I52+J52</f>
        <v>5</v>
      </c>
      <c r="G52" s="365">
        <v>5</v>
      </c>
      <c r="H52" s="365">
        <v>0</v>
      </c>
      <c r="I52" s="365">
        <v>0</v>
      </c>
      <c r="J52" s="365">
        <v>0</v>
      </c>
      <c r="K52" s="45"/>
      <c r="L52" s="44"/>
      <c r="M52" s="711"/>
    </row>
    <row r="53" spans="1:19" s="4" customFormat="1" ht="12.75" customHeight="1" x14ac:dyDescent="0.2">
      <c r="A53" s="689">
        <v>43</v>
      </c>
      <c r="B53" s="55" t="s">
        <v>86</v>
      </c>
      <c r="C53" s="56" t="s">
        <v>87</v>
      </c>
      <c r="D53" s="53">
        <f>D54+D55</f>
        <v>0</v>
      </c>
      <c r="E53" s="53">
        <f>E54+E55</f>
        <v>0</v>
      </c>
      <c r="F53" s="364">
        <f>F54+F55+F56</f>
        <v>637</v>
      </c>
      <c r="G53" s="364">
        <f>G54+G55+G56</f>
        <v>227</v>
      </c>
      <c r="H53" s="364">
        <f>H54+H55+H56</f>
        <v>187</v>
      </c>
      <c r="I53" s="364">
        <f>I54+I55+I56</f>
        <v>155</v>
      </c>
      <c r="J53" s="364">
        <f>J54+J55+J56</f>
        <v>68</v>
      </c>
      <c r="K53" s="45"/>
      <c r="L53" s="44"/>
      <c r="M53" s="711"/>
    </row>
    <row r="54" spans="1:19" s="4" customFormat="1" ht="12.75" customHeight="1" x14ac:dyDescent="0.2">
      <c r="A54" s="691">
        <v>44</v>
      </c>
      <c r="B54" s="59" t="s">
        <v>88</v>
      </c>
      <c r="C54" s="41"/>
      <c r="D54" s="42">
        <v>0</v>
      </c>
      <c r="E54" s="42">
        <v>0</v>
      </c>
      <c r="F54" s="365">
        <f>G54+H54+I54+J54</f>
        <v>543</v>
      </c>
      <c r="G54" s="365">
        <v>170</v>
      </c>
      <c r="H54" s="365">
        <v>150</v>
      </c>
      <c r="I54" s="365">
        <f>150+5</f>
        <v>155</v>
      </c>
      <c r="J54" s="365">
        <f>144-76</f>
        <v>68</v>
      </c>
      <c r="K54" s="45"/>
      <c r="L54" s="44"/>
      <c r="M54" s="711"/>
    </row>
    <row r="55" spans="1:19" s="4" customFormat="1" ht="12.75" customHeight="1" x14ac:dyDescent="0.2">
      <c r="A55" s="689">
        <v>45</v>
      </c>
      <c r="B55" s="59" t="s">
        <v>89</v>
      </c>
      <c r="C55" s="41"/>
      <c r="D55" s="42">
        <v>0</v>
      </c>
      <c r="E55" s="42">
        <v>0</v>
      </c>
      <c r="F55" s="365">
        <f>G55+H55+I55+J55</f>
        <v>94</v>
      </c>
      <c r="G55" s="365">
        <v>57</v>
      </c>
      <c r="H55" s="365">
        <f>50-13</f>
        <v>37</v>
      </c>
      <c r="I55" s="365">
        <v>0</v>
      </c>
      <c r="J55" s="365">
        <v>0</v>
      </c>
      <c r="K55" s="45"/>
      <c r="L55" s="44"/>
      <c r="M55" s="711"/>
    </row>
    <row r="56" spans="1:19" s="4" customFormat="1" ht="12.75" hidden="1" customHeight="1" x14ac:dyDescent="0.2">
      <c r="A56" s="691">
        <v>46</v>
      </c>
      <c r="B56" s="59" t="s">
        <v>233</v>
      </c>
      <c r="C56" s="41"/>
      <c r="D56" s="42">
        <v>0</v>
      </c>
      <c r="E56" s="42"/>
      <c r="F56" s="365">
        <f>G56+H56+I56+J56</f>
        <v>0</v>
      </c>
      <c r="G56" s="365">
        <v>0</v>
      </c>
      <c r="H56" s="365">
        <v>0</v>
      </c>
      <c r="I56" s="365">
        <v>0</v>
      </c>
      <c r="J56" s="365">
        <v>0</v>
      </c>
      <c r="K56" s="57"/>
      <c r="L56" s="43"/>
      <c r="M56" s="771"/>
    </row>
    <row r="57" spans="1:19" s="4" customFormat="1" ht="12.75" customHeight="1" x14ac:dyDescent="0.2">
      <c r="A57" s="689">
        <v>47</v>
      </c>
      <c r="B57" s="55" t="s">
        <v>91</v>
      </c>
      <c r="C57" s="75" t="s">
        <v>92</v>
      </c>
      <c r="D57" s="53">
        <v>0</v>
      </c>
      <c r="E57" s="53">
        <v>0</v>
      </c>
      <c r="F57" s="364">
        <f>G57+H57+I57+J57</f>
        <v>193</v>
      </c>
      <c r="G57" s="364">
        <f>148-55</f>
        <v>93</v>
      </c>
      <c r="H57" s="364">
        <f>100</f>
        <v>100</v>
      </c>
      <c r="I57" s="364">
        <v>0</v>
      </c>
      <c r="J57" s="364">
        <v>0</v>
      </c>
      <c r="K57" s="57"/>
      <c r="L57" s="43"/>
      <c r="M57" s="771"/>
    </row>
    <row r="58" spans="1:19" s="4" customFormat="1" ht="12.75" hidden="1" customHeight="1" x14ac:dyDescent="0.2">
      <c r="A58" s="691">
        <v>48</v>
      </c>
      <c r="B58" s="74" t="s">
        <v>93</v>
      </c>
      <c r="C58" s="56" t="s">
        <v>94</v>
      </c>
      <c r="D58" s="53">
        <v>0</v>
      </c>
      <c r="E58" s="53">
        <v>0</v>
      </c>
      <c r="F58" s="364"/>
      <c r="G58" s="364"/>
      <c r="H58" s="364"/>
      <c r="I58" s="364"/>
      <c r="J58" s="364"/>
      <c r="K58" s="57"/>
      <c r="L58" s="43"/>
      <c r="M58" s="771"/>
    </row>
    <row r="59" spans="1:19" s="4" customFormat="1" ht="12.75" customHeight="1" x14ac:dyDescent="0.2">
      <c r="A59" s="689">
        <v>49</v>
      </c>
      <c r="B59" s="55" t="s">
        <v>95</v>
      </c>
      <c r="C59" s="56" t="s">
        <v>96</v>
      </c>
      <c r="D59" s="53">
        <f>D61+D62</f>
        <v>0</v>
      </c>
      <c r="E59" s="53">
        <f>E61+E62</f>
        <v>0</v>
      </c>
      <c r="F59" s="364">
        <f>F60+F61+F62</f>
        <v>4</v>
      </c>
      <c r="G59" s="364">
        <f>G60+G61+G62</f>
        <v>4</v>
      </c>
      <c r="H59" s="364">
        <f>H60+H61+H62</f>
        <v>0</v>
      </c>
      <c r="I59" s="364">
        <f>I60+I61+I62</f>
        <v>0</v>
      </c>
      <c r="J59" s="364">
        <f>J60+J61+J62</f>
        <v>0</v>
      </c>
      <c r="K59" s="57"/>
      <c r="L59" s="43"/>
      <c r="M59" s="771"/>
      <c r="S59" s="4" t="s">
        <v>276</v>
      </c>
    </row>
    <row r="60" spans="1:19" s="4" customFormat="1" ht="12.75" hidden="1" customHeight="1" x14ac:dyDescent="0.2">
      <c r="A60" s="691">
        <v>50</v>
      </c>
      <c r="B60" s="59" t="s">
        <v>277</v>
      </c>
      <c r="C60" s="41" t="s">
        <v>98</v>
      </c>
      <c r="D60" s="42">
        <v>0</v>
      </c>
      <c r="E60" s="42"/>
      <c r="F60" s="365">
        <f>G60+H60+I60+J60</f>
        <v>0</v>
      </c>
      <c r="G60" s="365">
        <v>0</v>
      </c>
      <c r="H60" s="365">
        <v>0</v>
      </c>
      <c r="I60" s="365">
        <v>0</v>
      </c>
      <c r="J60" s="365">
        <v>0</v>
      </c>
      <c r="K60" s="45"/>
      <c r="L60" s="44"/>
      <c r="M60" s="711"/>
    </row>
    <row r="61" spans="1:19" s="4" customFormat="1" ht="12.75" customHeight="1" x14ac:dyDescent="0.2">
      <c r="A61" s="689">
        <v>51</v>
      </c>
      <c r="B61" s="59" t="s">
        <v>383</v>
      </c>
      <c r="C61" s="41" t="s">
        <v>100</v>
      </c>
      <c r="D61" s="42">
        <v>0</v>
      </c>
      <c r="E61" s="42">
        <v>0</v>
      </c>
      <c r="F61" s="365">
        <f>G61+H61+I61+J61</f>
        <v>1</v>
      </c>
      <c r="G61" s="365">
        <f>2-1</f>
        <v>1</v>
      </c>
      <c r="H61" s="365">
        <v>0</v>
      </c>
      <c r="I61" s="365">
        <v>0</v>
      </c>
      <c r="J61" s="365">
        <v>0</v>
      </c>
      <c r="K61" s="45"/>
      <c r="L61" s="44"/>
      <c r="M61" s="711"/>
    </row>
    <row r="62" spans="1:19" s="4" customFormat="1" ht="12.75" customHeight="1" x14ac:dyDescent="0.2">
      <c r="A62" s="691">
        <v>52</v>
      </c>
      <c r="B62" s="59" t="s">
        <v>384</v>
      </c>
      <c r="C62" s="41" t="s">
        <v>102</v>
      </c>
      <c r="D62" s="42">
        <v>0</v>
      </c>
      <c r="E62" s="42">
        <v>0</v>
      </c>
      <c r="F62" s="365">
        <f>G62+H62+I62+J62</f>
        <v>3</v>
      </c>
      <c r="G62" s="365">
        <f>4-1</f>
        <v>3</v>
      </c>
      <c r="H62" s="365">
        <v>0</v>
      </c>
      <c r="I62" s="365">
        <v>0</v>
      </c>
      <c r="J62" s="365">
        <v>0</v>
      </c>
      <c r="K62" s="45"/>
      <c r="L62" s="44"/>
      <c r="M62" s="711"/>
    </row>
    <row r="63" spans="1:19" s="4" customFormat="1" ht="12.75" hidden="1" customHeight="1" x14ac:dyDescent="0.2">
      <c r="A63" s="689">
        <v>53</v>
      </c>
      <c r="B63" s="59" t="s">
        <v>234</v>
      </c>
      <c r="C63" s="41" t="s">
        <v>102</v>
      </c>
      <c r="D63" s="42">
        <v>0</v>
      </c>
      <c r="E63" s="42"/>
      <c r="F63" s="365">
        <f>G63+H63+I63+J63</f>
        <v>0</v>
      </c>
      <c r="G63" s="365"/>
      <c r="H63" s="365"/>
      <c r="I63" s="365"/>
      <c r="J63" s="365"/>
      <c r="K63" s="45"/>
      <c r="L63" s="44"/>
      <c r="M63" s="711"/>
    </row>
    <row r="64" spans="1:19" s="4" customFormat="1" ht="12.75" customHeight="1" x14ac:dyDescent="0.2">
      <c r="A64" s="691">
        <v>54</v>
      </c>
      <c r="B64" s="76" t="s">
        <v>104</v>
      </c>
      <c r="C64" s="56" t="s">
        <v>105</v>
      </c>
      <c r="D64" s="53">
        <f>D65+D67+D66</f>
        <v>0</v>
      </c>
      <c r="E64" s="53">
        <f>E65+E67+E66</f>
        <v>0</v>
      </c>
      <c r="F64" s="364">
        <f>F65+F66+F67</f>
        <v>84</v>
      </c>
      <c r="G64" s="364">
        <f>G65+G66+G67</f>
        <v>45</v>
      </c>
      <c r="H64" s="364">
        <f>H65+H66+H67</f>
        <v>32</v>
      </c>
      <c r="I64" s="364">
        <f>I65+I66+I67</f>
        <v>7</v>
      </c>
      <c r="J64" s="364">
        <f>J65+J66+J67</f>
        <v>0</v>
      </c>
      <c r="K64" s="57"/>
      <c r="L64" s="43"/>
      <c r="M64" s="771"/>
    </row>
    <row r="65" spans="1:13" s="4" customFormat="1" ht="14.85" customHeight="1" x14ac:dyDescent="0.2">
      <c r="A65" s="689">
        <v>55</v>
      </c>
      <c r="B65" s="768" t="s">
        <v>106</v>
      </c>
      <c r="C65" s="765" t="s">
        <v>107</v>
      </c>
      <c r="D65" s="766">
        <v>0</v>
      </c>
      <c r="E65" s="766">
        <v>0</v>
      </c>
      <c r="F65" s="808">
        <f>G65+H65+I65+J65</f>
        <v>34</v>
      </c>
      <c r="G65" s="808">
        <v>20</v>
      </c>
      <c r="H65" s="808">
        <v>7</v>
      </c>
      <c r="I65" s="808">
        <v>7</v>
      </c>
      <c r="J65" s="808">
        <v>0</v>
      </c>
      <c r="K65" s="57"/>
      <c r="L65" s="43"/>
      <c r="M65" s="771"/>
    </row>
    <row r="66" spans="1:13" s="4" customFormat="1" ht="14.65" customHeight="1" x14ac:dyDescent="0.2">
      <c r="A66" s="691">
        <v>56</v>
      </c>
      <c r="B66" s="59" t="s">
        <v>108</v>
      </c>
      <c r="C66" s="41" t="s">
        <v>109</v>
      </c>
      <c r="D66" s="42">
        <v>0</v>
      </c>
      <c r="E66" s="42">
        <v>0</v>
      </c>
      <c r="F66" s="365">
        <v>0</v>
      </c>
      <c r="G66" s="365">
        <v>0</v>
      </c>
      <c r="H66" s="365">
        <v>0</v>
      </c>
      <c r="I66" s="365">
        <v>0</v>
      </c>
      <c r="J66" s="365">
        <v>0</v>
      </c>
      <c r="K66" s="45"/>
      <c r="L66" s="44"/>
      <c r="M66" s="711"/>
    </row>
    <row r="67" spans="1:13" s="4" customFormat="1" ht="14.85" customHeight="1" x14ac:dyDescent="0.2">
      <c r="A67" s="689">
        <v>57</v>
      </c>
      <c r="B67" s="70" t="s">
        <v>331</v>
      </c>
      <c r="C67" s="71" t="s">
        <v>111</v>
      </c>
      <c r="D67" s="72">
        <v>0</v>
      </c>
      <c r="E67" s="72">
        <v>0</v>
      </c>
      <c r="F67" s="391">
        <f>G67+H67+I67+J67</f>
        <v>50</v>
      </c>
      <c r="G67" s="391">
        <v>25</v>
      </c>
      <c r="H67" s="391">
        <v>25</v>
      </c>
      <c r="I67" s="391">
        <v>0</v>
      </c>
      <c r="J67" s="391">
        <v>0</v>
      </c>
      <c r="K67" s="45"/>
      <c r="L67" s="44"/>
      <c r="M67" s="711"/>
    </row>
    <row r="68" spans="1:13" s="4" customFormat="1" ht="12.75" hidden="1" customHeight="1" x14ac:dyDescent="0.2">
      <c r="A68" s="691">
        <v>58</v>
      </c>
      <c r="B68" s="59" t="s">
        <v>235</v>
      </c>
      <c r="C68" s="41"/>
      <c r="D68" s="42"/>
      <c r="E68" s="42"/>
      <c r="F68" s="365"/>
      <c r="G68" s="365"/>
      <c r="H68" s="365"/>
      <c r="I68" s="365"/>
      <c r="J68" s="365"/>
      <c r="K68" s="45"/>
      <c r="L68" s="44"/>
      <c r="M68" s="711"/>
    </row>
    <row r="69" spans="1:13" s="4" customFormat="1" ht="12.75" customHeight="1" x14ac:dyDescent="0.2">
      <c r="A69" s="689">
        <v>59</v>
      </c>
      <c r="B69" s="77" t="s">
        <v>113</v>
      </c>
      <c r="C69" s="56" t="s">
        <v>114</v>
      </c>
      <c r="D69" s="53">
        <f t="shared" ref="D69:J69" si="12">D70+D71</f>
        <v>0</v>
      </c>
      <c r="E69" s="53">
        <f t="shared" si="12"/>
        <v>0</v>
      </c>
      <c r="F69" s="364">
        <f t="shared" si="12"/>
        <v>39</v>
      </c>
      <c r="G69" s="364">
        <f t="shared" si="12"/>
        <v>10</v>
      </c>
      <c r="H69" s="364">
        <f t="shared" si="12"/>
        <v>10</v>
      </c>
      <c r="I69" s="364">
        <f t="shared" si="12"/>
        <v>10</v>
      </c>
      <c r="J69" s="364">
        <f t="shared" si="12"/>
        <v>9</v>
      </c>
      <c r="K69" s="57"/>
      <c r="L69" s="43"/>
      <c r="M69" s="771"/>
    </row>
    <row r="70" spans="1:13" s="4" customFormat="1" ht="12.75" customHeight="1" x14ac:dyDescent="0.2">
      <c r="A70" s="691">
        <v>60</v>
      </c>
      <c r="B70" s="70" t="s">
        <v>115</v>
      </c>
      <c r="C70" s="71" t="s">
        <v>116</v>
      </c>
      <c r="D70" s="72">
        <v>0</v>
      </c>
      <c r="E70" s="72">
        <v>0</v>
      </c>
      <c r="F70" s="391">
        <f>G70+H70+I70+J70</f>
        <v>39</v>
      </c>
      <c r="G70" s="391">
        <v>10</v>
      </c>
      <c r="H70" s="391">
        <v>10</v>
      </c>
      <c r="I70" s="391">
        <f>10-5+5</f>
        <v>10</v>
      </c>
      <c r="J70" s="391">
        <f>5+4</f>
        <v>9</v>
      </c>
      <c r="K70" s="45"/>
      <c r="L70" s="44"/>
      <c r="M70" s="711"/>
    </row>
    <row r="71" spans="1:13" s="4" customFormat="1" ht="12.75" hidden="1" customHeight="1" x14ac:dyDescent="0.2">
      <c r="A71" s="689">
        <v>61</v>
      </c>
      <c r="B71" s="59" t="s">
        <v>117</v>
      </c>
      <c r="C71" s="41" t="s">
        <v>118</v>
      </c>
      <c r="D71" s="42">
        <v>0</v>
      </c>
      <c r="E71" s="42">
        <v>0</v>
      </c>
      <c r="F71" s="365">
        <f>G71+H71+I71+J71</f>
        <v>0</v>
      </c>
      <c r="G71" s="365">
        <v>0</v>
      </c>
      <c r="H71" s="365">
        <v>0</v>
      </c>
      <c r="I71" s="365">
        <f>5-5</f>
        <v>0</v>
      </c>
      <c r="J71" s="365">
        <f>5-5</f>
        <v>0</v>
      </c>
      <c r="K71" s="45"/>
      <c r="L71" s="44"/>
      <c r="M71" s="711"/>
    </row>
    <row r="72" spans="1:13" s="4" customFormat="1" ht="12.75" hidden="1" customHeight="1" x14ac:dyDescent="0.2">
      <c r="A72" s="691">
        <v>62</v>
      </c>
      <c r="B72" s="55" t="s">
        <v>119</v>
      </c>
      <c r="C72" s="56" t="s">
        <v>120</v>
      </c>
      <c r="D72" s="53">
        <v>0</v>
      </c>
      <c r="E72" s="53">
        <v>0</v>
      </c>
      <c r="F72" s="365">
        <f>G72+H72+I72+J72</f>
        <v>0</v>
      </c>
      <c r="G72" s="364">
        <v>0</v>
      </c>
      <c r="H72" s="364">
        <v>0</v>
      </c>
      <c r="I72" s="364">
        <v>0</v>
      </c>
      <c r="J72" s="364">
        <v>0</v>
      </c>
      <c r="K72" s="57"/>
      <c r="L72" s="43"/>
      <c r="M72" s="771"/>
    </row>
    <row r="73" spans="1:13" s="4" customFormat="1" ht="12.75" customHeight="1" x14ac:dyDescent="0.2">
      <c r="A73" s="689">
        <v>63</v>
      </c>
      <c r="B73" s="380" t="s">
        <v>121</v>
      </c>
      <c r="C73" s="381" t="s">
        <v>122</v>
      </c>
      <c r="D73" s="382">
        <v>0</v>
      </c>
      <c r="E73" s="382">
        <v>0</v>
      </c>
      <c r="F73" s="316">
        <f>G73+H73+I73+J73</f>
        <v>40</v>
      </c>
      <c r="G73" s="316">
        <f>7+9</f>
        <v>16</v>
      </c>
      <c r="H73" s="316">
        <f>30-15</f>
        <v>15</v>
      </c>
      <c r="I73" s="316">
        <f>15-9</f>
        <v>6</v>
      </c>
      <c r="J73" s="316">
        <v>3</v>
      </c>
      <c r="K73" s="57"/>
      <c r="L73" s="43"/>
      <c r="M73" s="771"/>
    </row>
    <row r="74" spans="1:13" s="4" customFormat="1" ht="12.75" customHeight="1" x14ac:dyDescent="0.2">
      <c r="A74" s="691">
        <v>64</v>
      </c>
      <c r="B74" s="380" t="s">
        <v>278</v>
      </c>
      <c r="C74" s="381" t="s">
        <v>124</v>
      </c>
      <c r="D74" s="382">
        <v>0</v>
      </c>
      <c r="E74" s="382">
        <v>0</v>
      </c>
      <c r="F74" s="316">
        <f>G74+H74+I74+J74</f>
        <v>125</v>
      </c>
      <c r="G74" s="316">
        <v>53</v>
      </c>
      <c r="H74" s="316">
        <v>40</v>
      </c>
      <c r="I74" s="316">
        <f>40-25</f>
        <v>15</v>
      </c>
      <c r="J74" s="316">
        <f>30-13</f>
        <v>17</v>
      </c>
      <c r="K74" s="57"/>
      <c r="L74" s="43"/>
      <c r="M74" s="771"/>
    </row>
    <row r="75" spans="1:13" s="4" customFormat="1" ht="12.75" hidden="1" customHeight="1" x14ac:dyDescent="0.2">
      <c r="A75" s="689">
        <v>65</v>
      </c>
      <c r="B75" s="55" t="s">
        <v>125</v>
      </c>
      <c r="C75" s="56" t="s">
        <v>126</v>
      </c>
      <c r="D75" s="53"/>
      <c r="E75" s="53"/>
      <c r="F75" s="365">
        <v>0</v>
      </c>
      <c r="G75" s="365">
        <v>0</v>
      </c>
      <c r="H75" s="365">
        <v>0</v>
      </c>
      <c r="I75" s="365">
        <v>0</v>
      </c>
      <c r="J75" s="365">
        <v>0</v>
      </c>
      <c r="K75" s="57"/>
      <c r="L75" s="43"/>
      <c r="M75" s="771"/>
    </row>
    <row r="76" spans="1:13" s="4" customFormat="1" ht="12.75" customHeight="1" x14ac:dyDescent="0.2">
      <c r="A76" s="691">
        <v>66</v>
      </c>
      <c r="B76" s="55" t="s">
        <v>127</v>
      </c>
      <c r="C76" s="56" t="s">
        <v>128</v>
      </c>
      <c r="D76" s="377">
        <f t="shared" ref="D76:J76" si="13">D77+D78</f>
        <v>0</v>
      </c>
      <c r="E76" s="377">
        <f t="shared" si="13"/>
        <v>0</v>
      </c>
      <c r="F76" s="377">
        <f t="shared" si="13"/>
        <v>3305</v>
      </c>
      <c r="G76" s="377">
        <f>G77+G78</f>
        <v>183</v>
      </c>
      <c r="H76" s="377">
        <f t="shared" si="13"/>
        <v>839</v>
      </c>
      <c r="I76" s="377">
        <f t="shared" si="13"/>
        <v>1163</v>
      </c>
      <c r="J76" s="809">
        <f t="shared" si="13"/>
        <v>1120</v>
      </c>
      <c r="K76" s="79"/>
      <c r="L76" s="43"/>
      <c r="M76" s="771"/>
    </row>
    <row r="77" spans="1:13" s="4" customFormat="1" ht="12.75" customHeight="1" x14ac:dyDescent="0.2">
      <c r="A77" s="689">
        <v>67</v>
      </c>
      <c r="B77" s="59" t="s">
        <v>129</v>
      </c>
      <c r="C77" s="41" t="s">
        <v>130</v>
      </c>
      <c r="D77" s="42">
        <v>0</v>
      </c>
      <c r="E77" s="42">
        <v>0</v>
      </c>
      <c r="F77" s="365">
        <f>G77+H77+I77+J77</f>
        <v>7</v>
      </c>
      <c r="G77" s="365">
        <v>3</v>
      </c>
      <c r="H77" s="365">
        <v>2</v>
      </c>
      <c r="I77" s="365">
        <v>2</v>
      </c>
      <c r="J77" s="810">
        <v>0</v>
      </c>
      <c r="K77" s="79"/>
      <c r="L77" s="43"/>
      <c r="M77" s="771"/>
    </row>
    <row r="78" spans="1:13" s="4" customFormat="1" ht="12.75" customHeight="1" x14ac:dyDescent="0.2">
      <c r="A78" s="691">
        <v>68</v>
      </c>
      <c r="B78" s="59" t="s">
        <v>131</v>
      </c>
      <c r="C78" s="56" t="s">
        <v>132</v>
      </c>
      <c r="D78" s="377">
        <f t="shared" ref="D78:J78" si="14">D80+D82+D84+D81+D83+D79</f>
        <v>0</v>
      </c>
      <c r="E78" s="377">
        <f t="shared" si="14"/>
        <v>0</v>
      </c>
      <c r="F78" s="377">
        <f>F80+F82+F84+F81+F83+F79</f>
        <v>3298</v>
      </c>
      <c r="G78" s="377">
        <f>G80+G82+G84+G81+G83+G79</f>
        <v>180</v>
      </c>
      <c r="H78" s="377">
        <f t="shared" si="14"/>
        <v>837</v>
      </c>
      <c r="I78" s="377">
        <f>I80+I82+I84+I81+I83+I79</f>
        <v>1161</v>
      </c>
      <c r="J78" s="377">
        <f t="shared" si="14"/>
        <v>1120</v>
      </c>
      <c r="K78" s="383"/>
      <c r="L78" s="44"/>
      <c r="M78" s="711"/>
    </row>
    <row r="79" spans="1:13" s="4" customFormat="1" ht="12.75" customHeight="1" x14ac:dyDescent="0.2">
      <c r="A79" s="689">
        <v>69</v>
      </c>
      <c r="B79" s="59" t="s">
        <v>358</v>
      </c>
      <c r="C79" s="41"/>
      <c r="D79" s="42">
        <v>0</v>
      </c>
      <c r="E79" s="42">
        <v>0</v>
      </c>
      <c r="F79" s="365">
        <f t="shared" ref="F79:F85" si="15">G79+H79+I79+J79</f>
        <v>320</v>
      </c>
      <c r="G79" s="365">
        <f>95+27+8</f>
        <v>130</v>
      </c>
      <c r="H79" s="365">
        <f>95-17</f>
        <v>78</v>
      </c>
      <c r="I79" s="365">
        <f>95-56-10-8+40</f>
        <v>61</v>
      </c>
      <c r="J79" s="365">
        <f>80-49+20</f>
        <v>51</v>
      </c>
      <c r="K79" s="45"/>
      <c r="L79" s="44"/>
      <c r="M79" s="711"/>
    </row>
    <row r="80" spans="1:13" s="4" customFormat="1" ht="16.5" customHeight="1" x14ac:dyDescent="0.2">
      <c r="A80" s="691">
        <v>70</v>
      </c>
      <c r="B80" s="60" t="s">
        <v>359</v>
      </c>
      <c r="C80" s="41"/>
      <c r="D80" s="42">
        <v>0</v>
      </c>
      <c r="E80" s="42">
        <v>0</v>
      </c>
      <c r="F80" s="365">
        <f t="shared" si="15"/>
        <v>49</v>
      </c>
      <c r="G80" s="365">
        <v>20</v>
      </c>
      <c r="H80" s="365">
        <v>15</v>
      </c>
      <c r="I80" s="365">
        <v>10</v>
      </c>
      <c r="J80" s="365">
        <v>4</v>
      </c>
      <c r="K80" s="45"/>
      <c r="L80" s="44"/>
      <c r="M80" s="711"/>
    </row>
    <row r="81" spans="1:13" s="4" customFormat="1" ht="12.75" customHeight="1" x14ac:dyDescent="0.2">
      <c r="A81" s="689">
        <v>71</v>
      </c>
      <c r="B81" s="59" t="s">
        <v>360</v>
      </c>
      <c r="C81" s="41"/>
      <c r="D81" s="42">
        <v>0</v>
      </c>
      <c r="E81" s="42">
        <v>0</v>
      </c>
      <c r="F81" s="365">
        <f t="shared" si="15"/>
        <v>36</v>
      </c>
      <c r="G81" s="365">
        <v>27</v>
      </c>
      <c r="H81" s="365">
        <v>9</v>
      </c>
      <c r="I81" s="365">
        <v>0</v>
      </c>
      <c r="J81" s="365">
        <v>0</v>
      </c>
      <c r="K81" s="45"/>
      <c r="L81" s="44"/>
      <c r="M81" s="711"/>
    </row>
    <row r="82" spans="1:13" s="4" customFormat="1" ht="26.45" customHeight="1" x14ac:dyDescent="0.2">
      <c r="A82" s="691">
        <v>72</v>
      </c>
      <c r="B82" s="960" t="s">
        <v>378</v>
      </c>
      <c r="C82" s="765"/>
      <c r="D82" s="766">
        <v>0</v>
      </c>
      <c r="E82" s="766">
        <v>0</v>
      </c>
      <c r="F82" s="808">
        <f t="shared" si="15"/>
        <v>2890</v>
      </c>
      <c r="G82" s="808">
        <f>0</f>
        <v>0</v>
      </c>
      <c r="H82" s="808">
        <f>0+40+600+40+30+25</f>
        <v>735</v>
      </c>
      <c r="I82" s="808">
        <f>0+60+900+60+45+25</f>
        <v>1090</v>
      </c>
      <c r="J82" s="808">
        <f>0+60+900+60+45</f>
        <v>1065</v>
      </c>
      <c r="K82" s="45"/>
      <c r="L82" s="44"/>
      <c r="M82" s="711"/>
    </row>
    <row r="83" spans="1:13" s="4" customFormat="1" ht="12.75" customHeight="1" x14ac:dyDescent="0.2">
      <c r="A83" s="689">
        <v>73</v>
      </c>
      <c r="B83" s="59" t="s">
        <v>362</v>
      </c>
      <c r="C83" s="41"/>
      <c r="D83" s="42">
        <v>0</v>
      </c>
      <c r="E83" s="42">
        <v>0</v>
      </c>
      <c r="F83" s="365">
        <f>G83+H83+I83+J83</f>
        <v>3</v>
      </c>
      <c r="G83" s="365">
        <v>3</v>
      </c>
      <c r="H83" s="365">
        <v>0</v>
      </c>
      <c r="I83" s="365">
        <v>0</v>
      </c>
      <c r="J83" s="365">
        <v>0</v>
      </c>
      <c r="K83" s="45"/>
      <c r="L83" s="44"/>
      <c r="M83" s="711"/>
    </row>
    <row r="84" spans="1:13" s="4" customFormat="1" ht="12.75" hidden="1" customHeight="1" x14ac:dyDescent="0.2">
      <c r="A84" s="691">
        <v>74</v>
      </c>
      <c r="B84" s="940" t="s">
        <v>361</v>
      </c>
      <c r="C84" s="765"/>
      <c r="D84" s="766">
        <v>0</v>
      </c>
      <c r="E84" s="767">
        <v>0</v>
      </c>
      <c r="F84" s="808">
        <f t="shared" si="15"/>
        <v>0</v>
      </c>
      <c r="G84" s="808">
        <v>0</v>
      </c>
      <c r="H84" s="808">
        <v>0</v>
      </c>
      <c r="I84" s="808">
        <v>0</v>
      </c>
      <c r="J84" s="808">
        <v>0</v>
      </c>
      <c r="K84" s="45"/>
      <c r="L84" s="44"/>
      <c r="M84" s="711"/>
    </row>
    <row r="85" spans="1:13" s="4" customFormat="1" ht="12.75" hidden="1" customHeight="1" x14ac:dyDescent="0.2">
      <c r="A85" s="689">
        <v>75</v>
      </c>
      <c r="B85" s="384" t="s">
        <v>136</v>
      </c>
      <c r="C85" s="41"/>
      <c r="D85" s="42">
        <v>0</v>
      </c>
      <c r="E85" s="42">
        <v>0</v>
      </c>
      <c r="F85" s="365">
        <f t="shared" si="15"/>
        <v>0</v>
      </c>
      <c r="G85" s="365">
        <v>0</v>
      </c>
      <c r="H85" s="365">
        <v>0</v>
      </c>
      <c r="I85" s="365">
        <v>0</v>
      </c>
      <c r="J85" s="365">
        <v>0</v>
      </c>
      <c r="K85" s="45"/>
      <c r="L85" s="44"/>
      <c r="M85" s="711"/>
    </row>
    <row r="86" spans="1:13" s="4" customFormat="1" ht="12.75" hidden="1" customHeight="1" x14ac:dyDescent="0.2">
      <c r="A86" s="691">
        <v>76</v>
      </c>
      <c r="B86" s="90" t="s">
        <v>137</v>
      </c>
      <c r="C86" s="41"/>
      <c r="D86" s="42"/>
      <c r="E86" s="42"/>
      <c r="F86" s="365"/>
      <c r="G86" s="365"/>
      <c r="H86" s="365"/>
      <c r="I86" s="365"/>
      <c r="J86" s="365"/>
      <c r="K86" s="45"/>
      <c r="L86" s="44"/>
      <c r="M86" s="711"/>
    </row>
    <row r="87" spans="1:13" s="4" customFormat="1" ht="12.75" hidden="1" customHeight="1" x14ac:dyDescent="0.2">
      <c r="A87" s="689">
        <v>77</v>
      </c>
      <c r="B87" s="90" t="s">
        <v>138</v>
      </c>
      <c r="C87" s="41"/>
      <c r="D87" s="42"/>
      <c r="E87" s="42"/>
      <c r="F87" s="365"/>
      <c r="G87" s="365"/>
      <c r="H87" s="365"/>
      <c r="I87" s="365"/>
      <c r="J87" s="365"/>
      <c r="K87" s="45"/>
      <c r="L87" s="44"/>
      <c r="M87" s="711"/>
    </row>
    <row r="88" spans="1:13" s="4" customFormat="1" ht="13.35" hidden="1" customHeight="1" x14ac:dyDescent="0.2">
      <c r="A88" s="691">
        <v>78</v>
      </c>
      <c r="B88" s="100" t="s">
        <v>140</v>
      </c>
      <c r="C88" s="56" t="s">
        <v>141</v>
      </c>
      <c r="D88" s="53"/>
      <c r="E88" s="53"/>
      <c r="F88" s="364"/>
      <c r="G88" s="364"/>
      <c r="H88" s="364"/>
      <c r="I88" s="364"/>
      <c r="J88" s="364"/>
      <c r="K88" s="57"/>
      <c r="L88" s="43"/>
      <c r="M88" s="771"/>
    </row>
    <row r="89" spans="1:13" s="4" customFormat="1" ht="38.25" hidden="1" customHeight="1" x14ac:dyDescent="0.2">
      <c r="A89" s="689">
        <v>79</v>
      </c>
      <c r="B89" s="100" t="s">
        <v>142</v>
      </c>
      <c r="C89" s="101" t="s">
        <v>143</v>
      </c>
      <c r="D89" s="53"/>
      <c r="E89" s="53"/>
      <c r="F89" s="364"/>
      <c r="G89" s="364"/>
      <c r="H89" s="364"/>
      <c r="I89" s="364"/>
      <c r="J89" s="364"/>
      <c r="K89" s="57"/>
      <c r="L89" s="43"/>
      <c r="M89" s="771"/>
    </row>
    <row r="90" spans="1:13" s="4" customFormat="1" ht="13.5" hidden="1" customHeight="1" thickBot="1" x14ac:dyDescent="0.25">
      <c r="A90" s="691">
        <v>80</v>
      </c>
      <c r="B90" s="106" t="s">
        <v>144</v>
      </c>
      <c r="C90" s="81" t="s">
        <v>145</v>
      </c>
      <c r="D90" s="64"/>
      <c r="E90" s="64"/>
      <c r="F90" s="373"/>
      <c r="G90" s="373"/>
      <c r="H90" s="373"/>
      <c r="I90" s="373"/>
      <c r="J90" s="373"/>
      <c r="K90" s="322"/>
      <c r="L90" s="174"/>
      <c r="M90" s="888"/>
    </row>
    <row r="91" spans="1:13" s="4" customFormat="1" ht="12.75" hidden="1" customHeight="1" x14ac:dyDescent="0.2">
      <c r="A91" s="689">
        <v>81</v>
      </c>
      <c r="B91" s="35" t="s">
        <v>146</v>
      </c>
      <c r="C91" s="69" t="s">
        <v>147</v>
      </c>
      <c r="D91" s="36"/>
      <c r="E91" s="36"/>
      <c r="F91" s="416"/>
      <c r="G91" s="416"/>
      <c r="H91" s="416"/>
      <c r="I91" s="416"/>
      <c r="J91" s="416"/>
      <c r="K91" s="386"/>
      <c r="L91" s="175"/>
      <c r="M91" s="889"/>
    </row>
    <row r="92" spans="1:13" s="613" customFormat="1" ht="12.75" customHeight="1" x14ac:dyDescent="0.2">
      <c r="A92" s="691">
        <v>82</v>
      </c>
      <c r="B92" s="617" t="s">
        <v>148</v>
      </c>
      <c r="C92" s="618" t="s">
        <v>149</v>
      </c>
      <c r="D92" s="619">
        <f t="shared" ref="D92:J92" si="16">D93</f>
        <v>0</v>
      </c>
      <c r="E92" s="764">
        <f t="shared" si="16"/>
        <v>0</v>
      </c>
      <c r="F92" s="811">
        <f t="shared" si="16"/>
        <v>8319</v>
      </c>
      <c r="G92" s="811">
        <f t="shared" si="16"/>
        <v>2747</v>
      </c>
      <c r="H92" s="811">
        <f t="shared" si="16"/>
        <v>1173</v>
      </c>
      <c r="I92" s="811">
        <f t="shared" si="16"/>
        <v>1731</v>
      </c>
      <c r="J92" s="811">
        <f t="shared" si="16"/>
        <v>2668</v>
      </c>
      <c r="K92" s="621">
        <f>F92*101.2%</f>
        <v>8418.8279999999995</v>
      </c>
      <c r="L92" s="620">
        <f>F92*101.49%</f>
        <v>8442.9530999999988</v>
      </c>
      <c r="M92" s="890">
        <f>F92*101.8%</f>
        <v>8468.7420000000002</v>
      </c>
    </row>
    <row r="93" spans="1:13" s="4" customFormat="1" ht="12.75" customHeight="1" x14ac:dyDescent="0.2">
      <c r="A93" s="689">
        <v>83</v>
      </c>
      <c r="B93" s="115" t="s">
        <v>150</v>
      </c>
      <c r="C93" s="56" t="s">
        <v>151</v>
      </c>
      <c r="D93" s="53">
        <f t="shared" ref="D93:J93" si="17">D94+D107</f>
        <v>0</v>
      </c>
      <c r="E93" s="377">
        <f t="shared" si="17"/>
        <v>0</v>
      </c>
      <c r="F93" s="364">
        <f t="shared" si="17"/>
        <v>8319</v>
      </c>
      <c r="G93" s="364">
        <f t="shared" si="17"/>
        <v>2747</v>
      </c>
      <c r="H93" s="364">
        <f t="shared" si="17"/>
        <v>1173</v>
      </c>
      <c r="I93" s="364">
        <f t="shared" si="17"/>
        <v>1731</v>
      </c>
      <c r="J93" s="364">
        <f t="shared" si="17"/>
        <v>2668</v>
      </c>
      <c r="K93" s="57"/>
      <c r="L93" s="43"/>
      <c r="M93" s="771"/>
    </row>
    <row r="94" spans="1:13" s="4" customFormat="1" ht="12.75" customHeight="1" x14ac:dyDescent="0.2">
      <c r="A94" s="691">
        <v>84</v>
      </c>
      <c r="B94" s="115" t="s">
        <v>152</v>
      </c>
      <c r="C94" s="56" t="s">
        <v>153</v>
      </c>
      <c r="D94" s="43">
        <f t="shared" ref="D94:J94" si="18">D95+D96+D97+D98+D100+D101+D102+D103+D104+D105+D106</f>
        <v>0</v>
      </c>
      <c r="E94" s="364">
        <f t="shared" si="18"/>
        <v>0</v>
      </c>
      <c r="F94" s="364">
        <f t="shared" si="18"/>
        <v>1559</v>
      </c>
      <c r="G94" s="364">
        <f t="shared" si="18"/>
        <v>447</v>
      </c>
      <c r="H94" s="364">
        <f t="shared" si="18"/>
        <v>373</v>
      </c>
      <c r="I94" s="364">
        <f t="shared" si="18"/>
        <v>371</v>
      </c>
      <c r="J94" s="364">
        <f t="shared" si="18"/>
        <v>368</v>
      </c>
      <c r="K94" s="57"/>
      <c r="L94" s="43"/>
      <c r="M94" s="771"/>
    </row>
    <row r="95" spans="1:13" s="4" customFormat="1" ht="12.75" hidden="1" customHeight="1" x14ac:dyDescent="0.2">
      <c r="A95" s="689">
        <v>85</v>
      </c>
      <c r="B95" s="116" t="s">
        <v>154</v>
      </c>
      <c r="C95" s="41"/>
      <c r="D95" s="42"/>
      <c r="E95" s="42"/>
      <c r="F95" s="364"/>
      <c r="G95" s="364"/>
      <c r="H95" s="364"/>
      <c r="I95" s="364"/>
      <c r="J95" s="364"/>
      <c r="K95" s="371"/>
      <c r="L95" s="43"/>
      <c r="M95" s="771"/>
    </row>
    <row r="96" spans="1:13" s="4" customFormat="1" ht="12.75" hidden="1" customHeight="1" x14ac:dyDescent="0.2">
      <c r="A96" s="691">
        <v>86</v>
      </c>
      <c r="B96" s="116" t="s">
        <v>155</v>
      </c>
      <c r="C96" s="41"/>
      <c r="D96" s="42"/>
      <c r="E96" s="42"/>
      <c r="F96" s="364"/>
      <c r="G96" s="364"/>
      <c r="H96" s="364"/>
      <c r="I96" s="364"/>
      <c r="J96" s="364"/>
      <c r="K96" s="371"/>
      <c r="L96" s="43"/>
      <c r="M96" s="771"/>
    </row>
    <row r="97" spans="1:17" s="4" customFormat="1" ht="12.75" hidden="1" customHeight="1" x14ac:dyDescent="0.2">
      <c r="A97" s="689">
        <v>87</v>
      </c>
      <c r="B97" s="116" t="s">
        <v>156</v>
      </c>
      <c r="C97" s="41"/>
      <c r="D97" s="42"/>
      <c r="E97" s="42"/>
      <c r="F97" s="364"/>
      <c r="G97" s="364"/>
      <c r="H97" s="364"/>
      <c r="I97" s="364"/>
      <c r="J97" s="364"/>
      <c r="K97" s="371"/>
      <c r="L97" s="43"/>
      <c r="M97" s="771"/>
    </row>
    <row r="98" spans="1:17" s="4" customFormat="1" ht="12.75" hidden="1" customHeight="1" x14ac:dyDescent="0.2">
      <c r="A98" s="691">
        <v>88</v>
      </c>
      <c r="B98" s="119" t="s">
        <v>157</v>
      </c>
      <c r="C98" s="41"/>
      <c r="D98" s="42"/>
      <c r="E98" s="42"/>
      <c r="F98" s="364"/>
      <c r="G98" s="364"/>
      <c r="H98" s="364"/>
      <c r="I98" s="364"/>
      <c r="J98" s="364"/>
      <c r="K98" s="371"/>
      <c r="L98" s="43"/>
      <c r="M98" s="771"/>
    </row>
    <row r="99" spans="1:17" s="4" customFormat="1" ht="12.75" hidden="1" customHeight="1" x14ac:dyDescent="0.2">
      <c r="A99" s="689">
        <v>89</v>
      </c>
      <c r="B99" s="176" t="s">
        <v>158</v>
      </c>
      <c r="C99" s="41"/>
      <c r="D99" s="42"/>
      <c r="E99" s="42"/>
      <c r="F99" s="365">
        <f t="shared" ref="F99:F106" si="19">G99+H99+I99+J99</f>
        <v>0</v>
      </c>
      <c r="G99" s="365">
        <v>0</v>
      </c>
      <c r="H99" s="365">
        <v>0</v>
      </c>
      <c r="I99" s="365">
        <v>0</v>
      </c>
      <c r="J99" s="365">
        <v>0</v>
      </c>
      <c r="K99" s="371"/>
      <c r="L99" s="43"/>
      <c r="M99" s="771"/>
    </row>
    <row r="100" spans="1:17" s="4" customFormat="1" ht="12.75" customHeight="1" x14ac:dyDescent="0.2">
      <c r="A100" s="691">
        <v>90</v>
      </c>
      <c r="B100" s="121" t="s">
        <v>339</v>
      </c>
      <c r="C100" s="41"/>
      <c r="D100" s="42">
        <v>0</v>
      </c>
      <c r="E100" s="42">
        <v>0</v>
      </c>
      <c r="F100" s="365">
        <f t="shared" si="19"/>
        <v>95</v>
      </c>
      <c r="G100" s="365">
        <f>7+70</f>
        <v>77</v>
      </c>
      <c r="H100" s="365">
        <v>6</v>
      </c>
      <c r="I100" s="365">
        <v>6</v>
      </c>
      <c r="J100" s="365">
        <v>6</v>
      </c>
      <c r="K100" s="371"/>
      <c r="L100" s="43"/>
      <c r="M100" s="771"/>
    </row>
    <row r="101" spans="1:17" s="4" customFormat="1" ht="12.75" customHeight="1" x14ac:dyDescent="0.2">
      <c r="A101" s="689">
        <v>91</v>
      </c>
      <c r="B101" s="122" t="s">
        <v>160</v>
      </c>
      <c r="C101" s="41"/>
      <c r="D101" s="42">
        <v>0</v>
      </c>
      <c r="E101" s="42">
        <v>0</v>
      </c>
      <c r="F101" s="365">
        <f t="shared" si="19"/>
        <v>21</v>
      </c>
      <c r="G101" s="365">
        <v>6</v>
      </c>
      <c r="H101" s="365">
        <v>5</v>
      </c>
      <c r="I101" s="365">
        <v>5</v>
      </c>
      <c r="J101" s="365">
        <v>5</v>
      </c>
      <c r="K101" s="371"/>
      <c r="L101" s="43"/>
      <c r="M101" s="771"/>
      <c r="Q101" s="4">
        <v>0</v>
      </c>
    </row>
    <row r="102" spans="1:17" s="4" customFormat="1" ht="12.75" customHeight="1" x14ac:dyDescent="0.2">
      <c r="A102" s="691">
        <v>92</v>
      </c>
      <c r="B102" s="122" t="s">
        <v>161</v>
      </c>
      <c r="C102" s="41"/>
      <c r="D102" s="42">
        <v>0</v>
      </c>
      <c r="E102" s="42">
        <v>0</v>
      </c>
      <c r="F102" s="365">
        <f t="shared" si="19"/>
        <v>8</v>
      </c>
      <c r="G102" s="365">
        <v>2</v>
      </c>
      <c r="H102" s="365">
        <v>2</v>
      </c>
      <c r="I102" s="365">
        <v>2</v>
      </c>
      <c r="J102" s="365">
        <v>2</v>
      </c>
      <c r="K102" s="57"/>
      <c r="L102" s="43"/>
      <c r="M102" s="771"/>
    </row>
    <row r="103" spans="1:17" s="4" customFormat="1" ht="12.75" customHeight="1" x14ac:dyDescent="0.2">
      <c r="A103" s="689">
        <v>93</v>
      </c>
      <c r="B103" s="320" t="s">
        <v>162</v>
      </c>
      <c r="C103" s="41"/>
      <c r="D103" s="42">
        <v>0</v>
      </c>
      <c r="E103" s="42">
        <v>0</v>
      </c>
      <c r="F103" s="365">
        <f t="shared" si="19"/>
        <v>270</v>
      </c>
      <c r="G103" s="365">
        <v>68</v>
      </c>
      <c r="H103" s="365">
        <v>68</v>
      </c>
      <c r="I103" s="365">
        <v>67</v>
      </c>
      <c r="J103" s="365">
        <v>67</v>
      </c>
      <c r="K103" s="57"/>
      <c r="L103" s="43"/>
      <c r="M103" s="771"/>
    </row>
    <row r="104" spans="1:17" s="4" customFormat="1" ht="12.75" hidden="1" customHeight="1" x14ac:dyDescent="0.2">
      <c r="A104" s="691">
        <v>94</v>
      </c>
      <c r="B104" s="122" t="s">
        <v>163</v>
      </c>
      <c r="C104" s="41"/>
      <c r="D104" s="42">
        <v>0</v>
      </c>
      <c r="E104" s="42">
        <v>0</v>
      </c>
      <c r="F104" s="365">
        <f t="shared" si="19"/>
        <v>0</v>
      </c>
      <c r="G104" s="365">
        <v>0</v>
      </c>
      <c r="H104" s="365">
        <v>0</v>
      </c>
      <c r="I104" s="365">
        <v>0</v>
      </c>
      <c r="J104" s="365">
        <v>0</v>
      </c>
      <c r="K104" s="57"/>
      <c r="L104" s="43"/>
      <c r="M104" s="771"/>
    </row>
    <row r="105" spans="1:17" s="4" customFormat="1" ht="12.75" customHeight="1" x14ac:dyDescent="0.2">
      <c r="A105" s="689">
        <v>95</v>
      </c>
      <c r="B105" s="122" t="s">
        <v>164</v>
      </c>
      <c r="C105" s="41"/>
      <c r="D105" s="42">
        <v>0</v>
      </c>
      <c r="E105" s="379">
        <v>0</v>
      </c>
      <c r="F105" s="365">
        <f t="shared" si="19"/>
        <v>1071</v>
      </c>
      <c r="G105" s="365">
        <v>270</v>
      </c>
      <c r="H105" s="365">
        <v>268</v>
      </c>
      <c r="I105" s="365">
        <v>268</v>
      </c>
      <c r="J105" s="365">
        <v>265</v>
      </c>
      <c r="K105" s="57"/>
      <c r="L105" s="43"/>
      <c r="M105" s="771"/>
    </row>
    <row r="106" spans="1:17" s="4" customFormat="1" ht="12.75" customHeight="1" x14ac:dyDescent="0.2">
      <c r="A106" s="691">
        <v>96</v>
      </c>
      <c r="B106" s="122" t="s">
        <v>270</v>
      </c>
      <c r="C106" s="41"/>
      <c r="D106" s="42">
        <v>0</v>
      </c>
      <c r="E106" s="42">
        <v>0</v>
      </c>
      <c r="F106" s="365">
        <f t="shared" si="19"/>
        <v>94</v>
      </c>
      <c r="G106" s="365">
        <v>24</v>
      </c>
      <c r="H106" s="365">
        <v>24</v>
      </c>
      <c r="I106" s="365">
        <v>23</v>
      </c>
      <c r="J106" s="365">
        <v>23</v>
      </c>
      <c r="K106" s="57"/>
      <c r="L106" s="43"/>
      <c r="M106" s="771"/>
    </row>
    <row r="107" spans="1:17" s="4" customFormat="1" ht="12.75" customHeight="1" x14ac:dyDescent="0.2">
      <c r="A107" s="689">
        <v>97</v>
      </c>
      <c r="B107" s="123" t="s">
        <v>165</v>
      </c>
      <c r="C107" s="56" t="s">
        <v>166</v>
      </c>
      <c r="D107" s="53">
        <f>D109+D110+D111</f>
        <v>0</v>
      </c>
      <c r="E107" s="53">
        <f>E109+E110+E111</f>
        <v>0</v>
      </c>
      <c r="F107" s="364">
        <f>F108+F109+F110+F111</f>
        <v>6760</v>
      </c>
      <c r="G107" s="364">
        <f>G108+G109+G110+G111</f>
        <v>2300</v>
      </c>
      <c r="H107" s="364">
        <f>H108+H109+H110+H111</f>
        <v>800</v>
      </c>
      <c r="I107" s="364">
        <f>I108+I109+I110+I111</f>
        <v>1360</v>
      </c>
      <c r="J107" s="364">
        <f>J108+J109+J110+J111</f>
        <v>2300</v>
      </c>
      <c r="K107" s="57"/>
      <c r="L107" s="43"/>
      <c r="M107" s="771"/>
    </row>
    <row r="108" spans="1:17" s="4" customFormat="1" ht="12.75" hidden="1" customHeight="1" x14ac:dyDescent="0.2">
      <c r="A108" s="691">
        <v>98</v>
      </c>
      <c r="B108" s="124" t="s">
        <v>167</v>
      </c>
      <c r="C108" s="41"/>
      <c r="D108" s="42"/>
      <c r="E108" s="42"/>
      <c r="F108" s="364"/>
      <c r="G108" s="364"/>
      <c r="H108" s="364"/>
      <c r="I108" s="364"/>
      <c r="J108" s="364"/>
      <c r="K108" s="371"/>
      <c r="L108" s="43"/>
      <c r="M108" s="771"/>
    </row>
    <row r="109" spans="1:17" s="4" customFormat="1" ht="12.75" customHeight="1" x14ac:dyDescent="0.2">
      <c r="A109" s="689">
        <v>99</v>
      </c>
      <c r="B109" s="125" t="s">
        <v>168</v>
      </c>
      <c r="C109" s="41"/>
      <c r="D109" s="42">
        <v>0</v>
      </c>
      <c r="E109" s="42">
        <v>0</v>
      </c>
      <c r="F109" s="365">
        <f>G109+H109+I109+J109</f>
        <v>560</v>
      </c>
      <c r="G109" s="365">
        <v>0</v>
      </c>
      <c r="H109" s="365">
        <v>0</v>
      </c>
      <c r="I109" s="365">
        <v>560</v>
      </c>
      <c r="J109" s="365">
        <v>0</v>
      </c>
      <c r="K109" s="371"/>
      <c r="L109" s="43"/>
      <c r="M109" s="771"/>
    </row>
    <row r="110" spans="1:17" s="4" customFormat="1" ht="12.75" customHeight="1" x14ac:dyDescent="0.2">
      <c r="A110" s="691">
        <v>100</v>
      </c>
      <c r="B110" s="116" t="s">
        <v>371</v>
      </c>
      <c r="C110" s="41"/>
      <c r="D110" s="42">
        <v>0</v>
      </c>
      <c r="E110" s="42">
        <v>0</v>
      </c>
      <c r="F110" s="365">
        <f>G110+H110+I110+J110</f>
        <v>3000</v>
      </c>
      <c r="G110" s="365">
        <v>1500</v>
      </c>
      <c r="H110" s="365">
        <v>0</v>
      </c>
      <c r="I110" s="365">
        <v>0</v>
      </c>
      <c r="J110" s="365">
        <v>1500</v>
      </c>
      <c r="K110" s="371"/>
      <c r="L110" s="43"/>
      <c r="M110" s="771"/>
    </row>
    <row r="111" spans="1:17" s="4" customFormat="1" ht="12.75" customHeight="1" x14ac:dyDescent="0.2">
      <c r="A111" s="689">
        <v>101</v>
      </c>
      <c r="B111" s="116" t="s">
        <v>170</v>
      </c>
      <c r="C111" s="41"/>
      <c r="D111" s="42">
        <v>0</v>
      </c>
      <c r="E111" s="42">
        <v>0</v>
      </c>
      <c r="F111" s="365">
        <f>G111+H111+I111+J111</f>
        <v>3200</v>
      </c>
      <c r="G111" s="365">
        <v>800</v>
      </c>
      <c r="H111" s="365">
        <v>800</v>
      </c>
      <c r="I111" s="365">
        <v>800</v>
      </c>
      <c r="J111" s="365">
        <v>800</v>
      </c>
      <c r="K111" s="57"/>
      <c r="L111" s="43"/>
      <c r="M111" s="771"/>
    </row>
    <row r="112" spans="1:17" s="613" customFormat="1" ht="25.5" customHeight="1" x14ac:dyDescent="0.2">
      <c r="A112" s="691">
        <v>102</v>
      </c>
      <c r="B112" s="614" t="s">
        <v>171</v>
      </c>
      <c r="C112" s="615" t="s">
        <v>172</v>
      </c>
      <c r="D112" s="616">
        <f>D113+D116</f>
        <v>0</v>
      </c>
      <c r="E112" s="616">
        <f>E113+E116</f>
        <v>0</v>
      </c>
      <c r="F112" s="611">
        <f>F113+F116+F117</f>
        <v>0</v>
      </c>
      <c r="G112" s="611">
        <f>G113+G116+G117</f>
        <v>0</v>
      </c>
      <c r="H112" s="611">
        <f>H113+H116+H117</f>
        <v>0</v>
      </c>
      <c r="I112" s="611">
        <f>I113+I116+I117</f>
        <v>0</v>
      </c>
      <c r="J112" s="611">
        <f>J113+J116+J117</f>
        <v>0</v>
      </c>
      <c r="K112" s="612">
        <v>0</v>
      </c>
      <c r="L112" s="610">
        <v>0</v>
      </c>
      <c r="M112" s="891">
        <v>0</v>
      </c>
    </row>
    <row r="113" spans="1:13" s="4" customFormat="1" ht="12.75" customHeight="1" x14ac:dyDescent="0.2">
      <c r="A113" s="689">
        <v>103</v>
      </c>
      <c r="B113" s="320" t="s">
        <v>127</v>
      </c>
      <c r="C113" s="56" t="s">
        <v>173</v>
      </c>
      <c r="D113" s="53">
        <f t="shared" ref="D113:J113" si="20">D114+D115</f>
        <v>0</v>
      </c>
      <c r="E113" s="53">
        <f t="shared" si="20"/>
        <v>0</v>
      </c>
      <c r="F113" s="377">
        <f t="shared" si="20"/>
        <v>0</v>
      </c>
      <c r="G113" s="377">
        <f t="shared" si="20"/>
        <v>0</v>
      </c>
      <c r="H113" s="377">
        <f t="shared" si="20"/>
        <v>0</v>
      </c>
      <c r="I113" s="377">
        <f t="shared" si="20"/>
        <v>0</v>
      </c>
      <c r="J113" s="377">
        <f t="shared" si="20"/>
        <v>0</v>
      </c>
      <c r="K113" s="371"/>
      <c r="L113" s="43"/>
      <c r="M113" s="771"/>
    </row>
    <row r="114" spans="1:13" s="4" customFormat="1" ht="12.75" customHeight="1" x14ac:dyDescent="0.2">
      <c r="A114" s="691">
        <v>104</v>
      </c>
      <c r="B114" s="73" t="s">
        <v>174</v>
      </c>
      <c r="C114" s="56"/>
      <c r="D114" s="53">
        <v>0</v>
      </c>
      <c r="E114" s="53">
        <v>0</v>
      </c>
      <c r="F114" s="364">
        <f>G114+H114+I114+J114</f>
        <v>0</v>
      </c>
      <c r="G114" s="364">
        <f>246-246</f>
        <v>0</v>
      </c>
      <c r="H114" s="364">
        <f>246-246</f>
        <v>0</v>
      </c>
      <c r="I114" s="364">
        <f>246-246</f>
        <v>0</v>
      </c>
      <c r="J114" s="364">
        <f>246-246</f>
        <v>0</v>
      </c>
      <c r="K114" s="371"/>
      <c r="L114" s="43"/>
      <c r="M114" s="771"/>
    </row>
    <row r="115" spans="1:13" s="4" customFormat="1" ht="12.75" hidden="1" customHeight="1" x14ac:dyDescent="0.2">
      <c r="A115" s="689">
        <v>105</v>
      </c>
      <c r="B115" s="73" t="s">
        <v>175</v>
      </c>
      <c r="C115" s="56"/>
      <c r="D115" s="53">
        <v>0</v>
      </c>
      <c r="E115" s="53">
        <v>0</v>
      </c>
      <c r="F115" s="364">
        <f>G115+H115+I115+J115</f>
        <v>0</v>
      </c>
      <c r="G115" s="364">
        <v>0</v>
      </c>
      <c r="H115" s="364">
        <v>0</v>
      </c>
      <c r="I115" s="364">
        <v>0</v>
      </c>
      <c r="J115" s="364">
        <v>0</v>
      </c>
      <c r="K115" s="371"/>
      <c r="L115" s="43"/>
      <c r="M115" s="771"/>
    </row>
    <row r="116" spans="1:13" s="4" customFormat="1" x14ac:dyDescent="0.2">
      <c r="A116" s="691">
        <v>106</v>
      </c>
      <c r="B116" s="390" t="s">
        <v>176</v>
      </c>
      <c r="C116" s="381" t="s">
        <v>177</v>
      </c>
      <c r="D116" s="382">
        <v>0</v>
      </c>
      <c r="E116" s="382">
        <v>0</v>
      </c>
      <c r="F116" s="316">
        <f>G116+H116+I116+J116</f>
        <v>0</v>
      </c>
      <c r="G116" s="316">
        <v>0</v>
      </c>
      <c r="H116" s="316">
        <v>0</v>
      </c>
      <c r="I116" s="316">
        <v>0</v>
      </c>
      <c r="J116" s="316">
        <v>0</v>
      </c>
      <c r="K116" s="371"/>
      <c r="L116" s="43"/>
      <c r="M116" s="771"/>
    </row>
    <row r="117" spans="1:13" s="4" customFormat="1" ht="25.5" hidden="1" x14ac:dyDescent="0.2">
      <c r="A117" s="689">
        <v>107</v>
      </c>
      <c r="B117" s="73" t="s">
        <v>178</v>
      </c>
      <c r="C117" s="101" t="s">
        <v>179</v>
      </c>
      <c r="D117" s="53"/>
      <c r="E117" s="53"/>
      <c r="F117" s="364">
        <f>G117+H117+I117+J117</f>
        <v>0</v>
      </c>
      <c r="G117" s="364">
        <v>0</v>
      </c>
      <c r="H117" s="364">
        <f>34-34</f>
        <v>0</v>
      </c>
      <c r="I117" s="364">
        <f>6-6</f>
        <v>0</v>
      </c>
      <c r="J117" s="364">
        <v>0</v>
      </c>
      <c r="K117" s="57"/>
      <c r="L117" s="43"/>
      <c r="M117" s="771"/>
    </row>
    <row r="118" spans="1:13" s="135" customFormat="1" x14ac:dyDescent="0.2">
      <c r="A118" s="691">
        <v>108</v>
      </c>
      <c r="B118" s="179" t="s">
        <v>180</v>
      </c>
      <c r="C118" s="180"/>
      <c r="D118" s="372">
        <f t="shared" ref="D118:M118" si="21">D122+D132</f>
        <v>7852.6</v>
      </c>
      <c r="E118" s="372">
        <f t="shared" si="21"/>
        <v>0</v>
      </c>
      <c r="F118" s="372">
        <f t="shared" si="21"/>
        <v>4013.6</v>
      </c>
      <c r="G118" s="372">
        <f t="shared" si="21"/>
        <v>3030</v>
      </c>
      <c r="H118" s="372">
        <f t="shared" si="21"/>
        <v>437</v>
      </c>
      <c r="I118" s="372">
        <f t="shared" si="21"/>
        <v>546.6</v>
      </c>
      <c r="J118" s="372">
        <f t="shared" si="21"/>
        <v>0</v>
      </c>
      <c r="K118" s="372">
        <f t="shared" si="21"/>
        <v>3839</v>
      </c>
      <c r="L118" s="372">
        <f t="shared" si="21"/>
        <v>0</v>
      </c>
      <c r="M118" s="892">
        <f t="shared" si="21"/>
        <v>0</v>
      </c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71"/>
      <c r="E119" s="171"/>
      <c r="F119" s="364"/>
      <c r="G119" s="364"/>
      <c r="H119" s="364"/>
      <c r="I119" s="364"/>
      <c r="J119" s="364"/>
      <c r="K119" s="371"/>
      <c r="L119" s="43"/>
      <c r="M119" s="771"/>
    </row>
    <row r="120" spans="1:13" s="4" customFormat="1" hidden="1" x14ac:dyDescent="0.2">
      <c r="A120" s="691">
        <v>110</v>
      </c>
      <c r="B120" s="55" t="s">
        <v>183</v>
      </c>
      <c r="C120" s="56" t="s">
        <v>184</v>
      </c>
      <c r="D120" s="53"/>
      <c r="E120" s="53"/>
      <c r="F120" s="364"/>
      <c r="G120" s="364"/>
      <c r="H120" s="364"/>
      <c r="I120" s="364"/>
      <c r="J120" s="364"/>
      <c r="K120" s="371"/>
      <c r="L120" s="43"/>
      <c r="M120" s="771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42"/>
      <c r="E121" s="42"/>
      <c r="F121" s="364"/>
      <c r="G121" s="364"/>
      <c r="H121" s="364"/>
      <c r="I121" s="364"/>
      <c r="J121" s="364"/>
      <c r="K121" s="371"/>
      <c r="L121" s="43"/>
      <c r="M121" s="771"/>
    </row>
    <row r="122" spans="1:13" s="139" customFormat="1" ht="18" customHeight="1" x14ac:dyDescent="0.2">
      <c r="A122" s="691">
        <v>112</v>
      </c>
      <c r="B122" s="314" t="s">
        <v>187</v>
      </c>
      <c r="C122" s="56" t="s">
        <v>188</v>
      </c>
      <c r="D122" s="53">
        <f t="shared" ref="D122:J122" si="22">D123+D125</f>
        <v>0</v>
      </c>
      <c r="E122" s="377">
        <f t="shared" si="22"/>
        <v>0</v>
      </c>
      <c r="F122" s="377">
        <f t="shared" si="22"/>
        <v>0</v>
      </c>
      <c r="G122" s="377">
        <f t="shared" si="22"/>
        <v>0</v>
      </c>
      <c r="H122" s="377">
        <f t="shared" si="22"/>
        <v>0</v>
      </c>
      <c r="I122" s="377">
        <f t="shared" si="22"/>
        <v>0</v>
      </c>
      <c r="J122" s="377">
        <f t="shared" si="22"/>
        <v>0</v>
      </c>
      <c r="K122" s="57">
        <v>0</v>
      </c>
      <c r="L122" s="43">
        <f>K122*102.9/100</f>
        <v>0</v>
      </c>
      <c r="M122" s="771">
        <f>L122*102.6/100</f>
        <v>0</v>
      </c>
    </row>
    <row r="123" spans="1:13" s="139" customFormat="1" ht="12.75" hidden="1" customHeight="1" x14ac:dyDescent="0.2">
      <c r="A123" s="689">
        <v>113</v>
      </c>
      <c r="B123" s="138" t="s">
        <v>189</v>
      </c>
      <c r="C123" s="56" t="s">
        <v>190</v>
      </c>
      <c r="D123" s="42">
        <f t="shared" ref="D123:J123" si="23">D124</f>
        <v>0</v>
      </c>
      <c r="E123" s="53">
        <f t="shared" si="23"/>
        <v>0</v>
      </c>
      <c r="F123" s="379">
        <f t="shared" si="23"/>
        <v>0</v>
      </c>
      <c r="G123" s="379">
        <f t="shared" si="23"/>
        <v>0</v>
      </c>
      <c r="H123" s="379">
        <f t="shared" si="23"/>
        <v>0</v>
      </c>
      <c r="I123" s="379">
        <f t="shared" si="23"/>
        <v>0</v>
      </c>
      <c r="J123" s="379">
        <f t="shared" si="23"/>
        <v>0</v>
      </c>
      <c r="K123" s="57"/>
      <c r="L123" s="43"/>
      <c r="M123" s="771"/>
    </row>
    <row r="124" spans="1:13" s="139" customFormat="1" ht="12.75" hidden="1" customHeight="1" x14ac:dyDescent="0.2">
      <c r="A124" s="691">
        <v>114</v>
      </c>
      <c r="B124" s="138" t="s">
        <v>191</v>
      </c>
      <c r="C124" s="41" t="s">
        <v>272</v>
      </c>
      <c r="D124" s="42">
        <v>0</v>
      </c>
      <c r="E124" s="379">
        <v>0</v>
      </c>
      <c r="F124" s="365">
        <v>0</v>
      </c>
      <c r="G124" s="365">
        <v>0</v>
      </c>
      <c r="H124" s="365">
        <v>0</v>
      </c>
      <c r="I124" s="365">
        <v>0</v>
      </c>
      <c r="J124" s="365">
        <v>0</v>
      </c>
      <c r="K124" s="57"/>
      <c r="L124" s="43"/>
      <c r="M124" s="771"/>
    </row>
    <row r="125" spans="1:13" s="139" customFormat="1" ht="12.75" customHeight="1" x14ac:dyDescent="0.2">
      <c r="A125" s="689">
        <v>115</v>
      </c>
      <c r="B125" s="314" t="s">
        <v>273</v>
      </c>
      <c r="C125" s="56" t="s">
        <v>194</v>
      </c>
      <c r="D125" s="42">
        <f t="shared" ref="D125:J125" si="24">D126+D127</f>
        <v>0</v>
      </c>
      <c r="E125" s="377">
        <f t="shared" si="24"/>
        <v>0</v>
      </c>
      <c r="F125" s="377">
        <f t="shared" si="24"/>
        <v>0</v>
      </c>
      <c r="G125" s="377">
        <f t="shared" si="24"/>
        <v>0</v>
      </c>
      <c r="H125" s="377">
        <f t="shared" si="24"/>
        <v>0</v>
      </c>
      <c r="I125" s="377">
        <f t="shared" si="24"/>
        <v>0</v>
      </c>
      <c r="J125" s="377">
        <f t="shared" si="24"/>
        <v>0</v>
      </c>
      <c r="K125" s="57"/>
      <c r="L125" s="43"/>
      <c r="M125" s="771"/>
    </row>
    <row r="126" spans="1:13" s="139" customFormat="1" ht="12.75" customHeight="1" x14ac:dyDescent="0.2">
      <c r="A126" s="691">
        <v>116</v>
      </c>
      <c r="B126" s="138" t="s">
        <v>195</v>
      </c>
      <c r="C126" s="41" t="s">
        <v>196</v>
      </c>
      <c r="D126" s="42">
        <v>0</v>
      </c>
      <c r="E126" s="379">
        <v>0</v>
      </c>
      <c r="F126" s="364">
        <f>G126+H126+I126+J126</f>
        <v>0</v>
      </c>
      <c r="G126" s="364">
        <v>0</v>
      </c>
      <c r="H126" s="364">
        <v>0</v>
      </c>
      <c r="I126" s="364">
        <v>0</v>
      </c>
      <c r="J126" s="364">
        <v>0</v>
      </c>
      <c r="K126" s="57"/>
      <c r="L126" s="43"/>
      <c r="M126" s="771"/>
    </row>
    <row r="127" spans="1:13" s="139" customFormat="1" ht="14.25" customHeight="1" x14ac:dyDescent="0.2">
      <c r="A127" s="689">
        <v>117</v>
      </c>
      <c r="B127" s="138" t="s">
        <v>191</v>
      </c>
      <c r="C127" s="41" t="s">
        <v>197</v>
      </c>
      <c r="D127" s="42">
        <v>0</v>
      </c>
      <c r="E127" s="379">
        <v>0</v>
      </c>
      <c r="F127" s="364">
        <f>G127+H127+I127+J127</f>
        <v>0</v>
      </c>
      <c r="G127" s="364">
        <v>0</v>
      </c>
      <c r="H127" s="364">
        <v>0</v>
      </c>
      <c r="I127" s="364">
        <v>0</v>
      </c>
      <c r="J127" s="364">
        <v>0</v>
      </c>
      <c r="K127" s="57"/>
      <c r="L127" s="43"/>
      <c r="M127" s="771"/>
    </row>
    <row r="128" spans="1:13" s="139" customFormat="1" ht="12.75" hidden="1" customHeight="1" x14ac:dyDescent="0.2">
      <c r="A128" s="691">
        <v>118</v>
      </c>
      <c r="B128" s="138" t="s">
        <v>198</v>
      </c>
      <c r="C128" s="56" t="s">
        <v>199</v>
      </c>
      <c r="D128" s="42"/>
      <c r="E128" s="379"/>
      <c r="F128" s="364"/>
      <c r="G128" s="364"/>
      <c r="H128" s="364"/>
      <c r="I128" s="364"/>
      <c r="J128" s="364"/>
      <c r="K128" s="57"/>
      <c r="L128" s="43"/>
      <c r="M128" s="771"/>
    </row>
    <row r="129" spans="1:15" s="139" customFormat="1" ht="12.75" hidden="1" customHeight="1" x14ac:dyDescent="0.2">
      <c r="A129" s="689">
        <v>119</v>
      </c>
      <c r="B129" s="138" t="s">
        <v>200</v>
      </c>
      <c r="C129" s="41" t="s">
        <v>201</v>
      </c>
      <c r="D129" s="42"/>
      <c r="E129" s="379"/>
      <c r="F129" s="364"/>
      <c r="G129" s="364"/>
      <c r="H129" s="364"/>
      <c r="I129" s="364"/>
      <c r="J129" s="364"/>
      <c r="K129" s="57"/>
      <c r="L129" s="43"/>
      <c r="M129" s="771"/>
    </row>
    <row r="130" spans="1:15" s="139" customFormat="1" ht="12.75" hidden="1" customHeight="1" x14ac:dyDescent="0.2">
      <c r="A130" s="691">
        <v>120</v>
      </c>
      <c r="B130" s="138" t="s">
        <v>202</v>
      </c>
      <c r="C130" s="41" t="s">
        <v>203</v>
      </c>
      <c r="D130" s="42"/>
      <c r="E130" s="379"/>
      <c r="F130" s="364"/>
      <c r="G130" s="364"/>
      <c r="H130" s="364"/>
      <c r="I130" s="364"/>
      <c r="J130" s="364"/>
      <c r="K130" s="57"/>
      <c r="L130" s="43"/>
      <c r="M130" s="771"/>
    </row>
    <row r="131" spans="1:15" s="139" customFormat="1" ht="12.75" hidden="1" customHeight="1" x14ac:dyDescent="0.2">
      <c r="A131" s="689">
        <v>121</v>
      </c>
      <c r="B131" s="138" t="s">
        <v>204</v>
      </c>
      <c r="C131" s="41" t="s">
        <v>205</v>
      </c>
      <c r="D131" s="42"/>
      <c r="E131" s="379"/>
      <c r="F131" s="364"/>
      <c r="G131" s="364"/>
      <c r="H131" s="364"/>
      <c r="I131" s="364"/>
      <c r="J131" s="364"/>
      <c r="K131" s="57"/>
      <c r="L131" s="43"/>
      <c r="M131" s="771"/>
    </row>
    <row r="132" spans="1:15" s="613" customFormat="1" ht="12.75" customHeight="1" x14ac:dyDescent="0.2">
      <c r="A132" s="691">
        <v>122</v>
      </c>
      <c r="B132" s="608" t="s">
        <v>206</v>
      </c>
      <c r="C132" s="609" t="s">
        <v>207</v>
      </c>
      <c r="D132" s="611">
        <f t="shared" ref="D132:J133" si="25">D133</f>
        <v>7852.6</v>
      </c>
      <c r="E132" s="611">
        <f t="shared" si="25"/>
        <v>0</v>
      </c>
      <c r="F132" s="611">
        <f t="shared" si="25"/>
        <v>4013.6</v>
      </c>
      <c r="G132" s="611">
        <f t="shared" si="25"/>
        <v>3030</v>
      </c>
      <c r="H132" s="611">
        <f t="shared" si="25"/>
        <v>437</v>
      </c>
      <c r="I132" s="611">
        <f t="shared" si="25"/>
        <v>546.6</v>
      </c>
      <c r="J132" s="611">
        <f t="shared" si="25"/>
        <v>0</v>
      </c>
      <c r="K132" s="978">
        <f>K133</f>
        <v>3839</v>
      </c>
      <c r="L132" s="978">
        <f>L135</f>
        <v>0</v>
      </c>
      <c r="M132" s="989">
        <f>M135</f>
        <v>0</v>
      </c>
    </row>
    <row r="133" spans="1:15" s="4" customFormat="1" ht="12.75" customHeight="1" x14ac:dyDescent="0.2">
      <c r="A133" s="689">
        <v>123</v>
      </c>
      <c r="B133" s="55" t="s">
        <v>208</v>
      </c>
      <c r="C133" s="75">
        <v>71</v>
      </c>
      <c r="D133" s="365">
        <f t="shared" si="25"/>
        <v>7852.6</v>
      </c>
      <c r="E133" s="365">
        <f t="shared" si="25"/>
        <v>0</v>
      </c>
      <c r="F133" s="365">
        <f t="shared" si="25"/>
        <v>4013.6</v>
      </c>
      <c r="G133" s="365">
        <f t="shared" si="25"/>
        <v>3030</v>
      </c>
      <c r="H133" s="365">
        <f t="shared" si="25"/>
        <v>437</v>
      </c>
      <c r="I133" s="365">
        <f t="shared" si="25"/>
        <v>546.6</v>
      </c>
      <c r="J133" s="365">
        <f t="shared" si="25"/>
        <v>0</v>
      </c>
      <c r="K133" s="979">
        <v>3839</v>
      </c>
      <c r="L133" s="979">
        <f>L135</f>
        <v>0</v>
      </c>
      <c r="M133" s="1016">
        <f>M135</f>
        <v>0</v>
      </c>
    </row>
    <row r="134" spans="1:15" s="4" customFormat="1" ht="12.75" customHeight="1" x14ac:dyDescent="0.2">
      <c r="A134" s="691">
        <v>124</v>
      </c>
      <c r="B134" s="55" t="s">
        <v>209</v>
      </c>
      <c r="C134" s="75" t="s">
        <v>210</v>
      </c>
      <c r="D134" s="365">
        <f>D135+D136+D138+D139</f>
        <v>7852.6</v>
      </c>
      <c r="E134" s="365">
        <f>E135+E136+E137+E138+E139</f>
        <v>0</v>
      </c>
      <c r="F134" s="365">
        <f>F135+F136+F138+F139+F137</f>
        <v>4013.6</v>
      </c>
      <c r="G134" s="365">
        <f>G135+G136+G138+G139+G137</f>
        <v>3030</v>
      </c>
      <c r="H134" s="365">
        <f>H135+H136+H138+H139+H137</f>
        <v>437</v>
      </c>
      <c r="I134" s="365">
        <f>I135+I136+I138+I139+I137</f>
        <v>546.6</v>
      </c>
      <c r="J134" s="365">
        <f>J135+J136+J138+J139+J137</f>
        <v>0</v>
      </c>
      <c r="K134" s="979"/>
      <c r="L134" s="364"/>
      <c r="M134" s="980"/>
    </row>
    <row r="135" spans="1:15" s="4" customFormat="1" ht="12.75" customHeight="1" x14ac:dyDescent="0.2">
      <c r="A135" s="689">
        <v>125</v>
      </c>
      <c r="B135" s="59" t="s">
        <v>211</v>
      </c>
      <c r="C135" s="142" t="s">
        <v>212</v>
      </c>
      <c r="D135" s="379">
        <f>7236+45</f>
        <v>7281</v>
      </c>
      <c r="E135" s="379">
        <v>0</v>
      </c>
      <c r="F135" s="391">
        <f>G135+H135+I135+J135</f>
        <v>3442</v>
      </c>
      <c r="G135" s="391">
        <f>2000+5+1005</f>
        <v>3010</v>
      </c>
      <c r="H135" s="391">
        <f>2000+50+1100-3150</f>
        <v>0</v>
      </c>
      <c r="I135" s="391">
        <f>1189-1189+432</f>
        <v>432</v>
      </c>
      <c r="J135" s="391">
        <f>0+2000-2000</f>
        <v>0</v>
      </c>
      <c r="K135" s="981"/>
      <c r="L135" s="364"/>
      <c r="M135" s="980"/>
    </row>
    <row r="136" spans="1:15" s="4" customFormat="1" ht="12.75" customHeight="1" x14ac:dyDescent="0.2">
      <c r="A136" s="691">
        <v>126</v>
      </c>
      <c r="B136" s="74" t="s">
        <v>213</v>
      </c>
      <c r="C136" s="142" t="s">
        <v>214</v>
      </c>
      <c r="D136" s="379">
        <v>451.1</v>
      </c>
      <c r="E136" s="392">
        <v>0</v>
      </c>
      <c r="F136" s="391">
        <f>G136+H136+I136+J136</f>
        <v>451.1</v>
      </c>
      <c r="G136" s="391">
        <v>0</v>
      </c>
      <c r="H136" s="391">
        <f>200+178</f>
        <v>378</v>
      </c>
      <c r="I136" s="391">
        <f>93.1+21.5-41.5</f>
        <v>73.099999999999994</v>
      </c>
      <c r="J136" s="391">
        <v>0</v>
      </c>
      <c r="K136" s="371"/>
      <c r="L136" s="43"/>
      <c r="M136" s="771"/>
    </row>
    <row r="137" spans="1:15" s="4" customFormat="1" ht="12.75" hidden="1" customHeight="1" x14ac:dyDescent="0.2">
      <c r="A137" s="689">
        <v>127</v>
      </c>
      <c r="B137" s="74" t="s">
        <v>215</v>
      </c>
      <c r="C137" s="142" t="s">
        <v>214</v>
      </c>
      <c r="D137" s="379"/>
      <c r="E137" s="42"/>
      <c r="F137" s="365">
        <f>G137+H137+I137+J137</f>
        <v>0</v>
      </c>
      <c r="G137" s="365"/>
      <c r="H137" s="365"/>
      <c r="I137" s="365"/>
      <c r="J137" s="365"/>
      <c r="K137" s="371"/>
      <c r="L137" s="43"/>
      <c r="M137" s="771"/>
    </row>
    <row r="138" spans="1:15" s="4" customFormat="1" ht="12.75" customHeight="1" x14ac:dyDescent="0.2">
      <c r="A138" s="691">
        <v>128</v>
      </c>
      <c r="B138" s="40" t="s">
        <v>216</v>
      </c>
      <c r="C138" s="142" t="s">
        <v>217</v>
      </c>
      <c r="D138" s="379">
        <v>52.2</v>
      </c>
      <c r="E138" s="379">
        <v>0</v>
      </c>
      <c r="F138" s="365">
        <f>G138+H138+I138+J138</f>
        <v>52.2</v>
      </c>
      <c r="G138" s="365">
        <f>0+20</f>
        <v>20</v>
      </c>
      <c r="H138" s="365">
        <v>0</v>
      </c>
      <c r="I138" s="365">
        <f>32.2-32.2+32.2</f>
        <v>32.200000000000003</v>
      </c>
      <c r="J138" s="365">
        <v>0</v>
      </c>
      <c r="K138" s="371"/>
      <c r="L138" s="43"/>
      <c r="M138" s="771"/>
    </row>
    <row r="139" spans="1:15" s="4" customFormat="1" ht="13.5" customHeight="1" thickBot="1" x14ac:dyDescent="0.25">
      <c r="A139" s="693">
        <v>129</v>
      </c>
      <c r="B139" s="883" t="s">
        <v>218</v>
      </c>
      <c r="C139" s="695" t="s">
        <v>219</v>
      </c>
      <c r="D139" s="1015">
        <v>68.3</v>
      </c>
      <c r="E139" s="942">
        <v>0</v>
      </c>
      <c r="F139" s="893">
        <f>G139+H139+I139+J139</f>
        <v>68.3</v>
      </c>
      <c r="G139" s="893">
        <v>0</v>
      </c>
      <c r="H139" s="893">
        <v>59</v>
      </c>
      <c r="I139" s="893">
        <f>9.3-9.3+9.3</f>
        <v>9.3000000000000007</v>
      </c>
      <c r="J139" s="893">
        <v>0</v>
      </c>
      <c r="K139" s="886"/>
      <c r="L139" s="876"/>
      <c r="M139" s="887"/>
    </row>
    <row r="140" spans="1:15" ht="12.75" customHeight="1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386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56"/>
      <c r="K143" s="1132" t="s">
        <v>388</v>
      </c>
      <c r="L143" s="1132"/>
      <c r="M143" s="1132"/>
      <c r="N143" s="1132"/>
      <c r="O143" s="6"/>
    </row>
    <row r="144" spans="1:15" ht="12.75" customHeight="1" x14ac:dyDescent="0.2">
      <c r="J144" s="305"/>
      <c r="K144" s="152" t="s">
        <v>389</v>
      </c>
      <c r="L144" s="4"/>
      <c r="M144" s="4"/>
      <c r="N144" s="4"/>
    </row>
  </sheetData>
  <sheetProtection selectLockedCells="1" selectUnlockedCells="1"/>
  <mergeCells count="13">
    <mergeCell ref="D9:D10"/>
    <mergeCell ref="E9:E10"/>
    <mergeCell ref="F9:F10"/>
    <mergeCell ref="G9:J9"/>
    <mergeCell ref="K9:M9"/>
    <mergeCell ref="K143:N143"/>
    <mergeCell ref="B5:M5"/>
    <mergeCell ref="B6:M6"/>
    <mergeCell ref="C7:F7"/>
    <mergeCell ref="A8:B8"/>
    <mergeCell ref="A9:A10"/>
    <mergeCell ref="B9:B10"/>
    <mergeCell ref="C9:C10"/>
  </mergeCells>
  <printOptions horizontalCentered="1"/>
  <pageMargins left="0.11811023622047245" right="0.11811023622047245" top="0.39370078740157483" bottom="0.19685039370078741" header="0.51181102362204722" footer="0.51181102362204722"/>
  <pageSetup scale="84" firstPageNumber="0" fitToHeight="0" orientation="landscape" r:id="rId1"/>
  <headerFooter alignWithMargins="0"/>
  <rowBreaks count="1" manualBreakCount="1">
    <brk id="49" max="16383" man="1"/>
  </rowBreaks>
  <colBreaks count="1" manualBreakCount="1">
    <brk id="13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3182-79D7-4D3E-AC21-B968E6380765}">
  <sheetPr>
    <pageSetUpPr fitToPage="1"/>
  </sheetPr>
  <dimension ref="A1:R144"/>
  <sheetViews>
    <sheetView workbookViewId="0">
      <selection activeCell="C142" sqref="C142:F143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9" style="1" customWidth="1"/>
    <col min="4" max="4" width="10.28515625" style="1" customWidth="1"/>
    <col min="5" max="5" width="8.85546875" style="1" hidden="1" customWidth="1"/>
    <col min="6" max="6" width="10.140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8.42578125" style="1" customWidth="1"/>
    <col min="12" max="12" width="8" style="1" customWidth="1"/>
    <col min="13" max="13" width="7.85546875" style="1" customWidth="1"/>
    <col min="14" max="16384" width="9.140625" style="1"/>
  </cols>
  <sheetData>
    <row r="1" spans="1:15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5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5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5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5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5" ht="12.75" customHeight="1" x14ac:dyDescent="0.2">
      <c r="B6" s="1119" t="s">
        <v>279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5" ht="12.75" customHeight="1" x14ac:dyDescent="0.2">
      <c r="B7" s="1167" t="s">
        <v>280</v>
      </c>
      <c r="C7" s="1167"/>
      <c r="D7" s="1167"/>
      <c r="E7" s="1167"/>
      <c r="F7" s="1167"/>
      <c r="G7" s="1167"/>
      <c r="H7" s="1167"/>
      <c r="I7" s="1167"/>
      <c r="J7" s="1167"/>
      <c r="K7" s="1167"/>
      <c r="L7" s="1167"/>
      <c r="M7" s="1167"/>
    </row>
    <row r="8" spans="1:15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5" s="4" customFormat="1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379</v>
      </c>
      <c r="E9" s="1125"/>
      <c r="F9" s="1127" t="s">
        <v>380</v>
      </c>
      <c r="G9" s="1129" t="s">
        <v>12</v>
      </c>
      <c r="H9" s="1129"/>
      <c r="I9" s="1129"/>
      <c r="J9" s="1129"/>
      <c r="K9" s="1130" t="s">
        <v>13</v>
      </c>
      <c r="L9" s="1130"/>
      <c r="M9" s="1131"/>
    </row>
    <row r="10" spans="1:15" s="4" customFormat="1" ht="48" customHeight="1" thickBot="1" x14ac:dyDescent="0.25">
      <c r="A10" s="1135"/>
      <c r="B10" s="1137"/>
      <c r="C10" s="1124"/>
      <c r="D10" s="1126"/>
      <c r="E10" s="1126"/>
      <c r="F10" s="1128"/>
      <c r="G10" s="967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5" s="4" customFormat="1" ht="27" customHeight="1" x14ac:dyDescent="0.2">
      <c r="A11" s="773" t="s">
        <v>18</v>
      </c>
      <c r="B11" s="17" t="s">
        <v>19</v>
      </c>
      <c r="C11" s="18"/>
      <c r="D11" s="19">
        <f>D12+D122</f>
        <v>0</v>
      </c>
      <c r="E11" s="281">
        <f>E12</f>
        <v>0</v>
      </c>
      <c r="F11" s="375">
        <f>F12+F118</f>
        <v>1577.31</v>
      </c>
      <c r="G11" s="375">
        <f>G12+G118</f>
        <v>420</v>
      </c>
      <c r="H11" s="375">
        <f>H12+H118</f>
        <v>483.31</v>
      </c>
      <c r="I11" s="375">
        <f>I12+I118</f>
        <v>356</v>
      </c>
      <c r="J11" s="375">
        <f>J12+J118</f>
        <v>318</v>
      </c>
      <c r="K11" s="982">
        <f t="shared" ref="K11:M12" si="0">K12</f>
        <v>1606.136358</v>
      </c>
      <c r="L11" s="1001">
        <f t="shared" si="0"/>
        <v>1606.2631199999998</v>
      </c>
      <c r="M11" s="1002">
        <f t="shared" si="0"/>
        <v>1625.18208</v>
      </c>
    </row>
    <row r="12" spans="1:15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376">
        <f>E13</f>
        <v>0</v>
      </c>
      <c r="F12" s="376">
        <f>F13</f>
        <v>1577.31</v>
      </c>
      <c r="G12" s="376">
        <f>G13</f>
        <v>420</v>
      </c>
      <c r="H12" s="376">
        <f>H13</f>
        <v>483.31</v>
      </c>
      <c r="I12" s="376">
        <f>I13</f>
        <v>356</v>
      </c>
      <c r="J12" s="313">
        <f>J13</f>
        <v>318</v>
      </c>
      <c r="K12" s="984">
        <f t="shared" si="0"/>
        <v>1606.136358</v>
      </c>
      <c r="L12" s="1003">
        <f t="shared" si="0"/>
        <v>1606.2631199999998</v>
      </c>
      <c r="M12" s="1004">
        <f t="shared" si="0"/>
        <v>1625.18208</v>
      </c>
    </row>
    <row r="13" spans="1:15" s="4" customFormat="1" ht="12.75" customHeight="1" x14ac:dyDescent="0.2">
      <c r="A13" s="689">
        <v>3</v>
      </c>
      <c r="B13" s="157" t="s">
        <v>21</v>
      </c>
      <c r="C13" s="75" t="s">
        <v>22</v>
      </c>
      <c r="D13" s="53">
        <f>D14+D34</f>
        <v>0</v>
      </c>
      <c r="E13" s="377">
        <f>E14+E34</f>
        <v>0</v>
      </c>
      <c r="F13" s="364">
        <f>F14+F34+F92+F112</f>
        <v>1577.31</v>
      </c>
      <c r="G13" s="364">
        <f>G14+G34</f>
        <v>420</v>
      </c>
      <c r="H13" s="364">
        <f>H14+H34+H112</f>
        <v>483.31</v>
      </c>
      <c r="I13" s="364">
        <f>I14+I34+I112</f>
        <v>356</v>
      </c>
      <c r="J13" s="364">
        <f>J14+J34+J112</f>
        <v>318</v>
      </c>
      <c r="K13" s="979">
        <f>K14+K34</f>
        <v>1606.136358</v>
      </c>
      <c r="L13" s="999">
        <f>L14+L34</f>
        <v>1606.2631199999998</v>
      </c>
      <c r="M13" s="1005">
        <f>M14+M34</f>
        <v>1625.18208</v>
      </c>
    </row>
    <row r="14" spans="1:15" s="4" customFormat="1" ht="12.75" customHeight="1" x14ac:dyDescent="0.2">
      <c r="A14" s="689">
        <v>4</v>
      </c>
      <c r="B14" s="160" t="s">
        <v>23</v>
      </c>
      <c r="C14" s="161" t="s">
        <v>24</v>
      </c>
      <c r="D14" s="53">
        <f>D15+D26+D23</f>
        <v>0</v>
      </c>
      <c r="E14" s="53">
        <f>E15+E26+E23</f>
        <v>0</v>
      </c>
      <c r="F14" s="377">
        <f>F15+F26+F23</f>
        <v>1053</v>
      </c>
      <c r="G14" s="364">
        <f>G15+G23+G26</f>
        <v>241</v>
      </c>
      <c r="H14" s="364">
        <f>H15+H23+H26</f>
        <v>250</v>
      </c>
      <c r="I14" s="364">
        <f>I15+I23+I26</f>
        <v>281</v>
      </c>
      <c r="J14" s="364">
        <f>J15+J23+J26</f>
        <v>281</v>
      </c>
      <c r="K14" s="57">
        <f>F14*102.15%</f>
        <v>1075.6395</v>
      </c>
      <c r="L14" s="58">
        <f>F14*102.65%</f>
        <v>1080.9044999999999</v>
      </c>
      <c r="M14" s="777">
        <f>F14*103.65%</f>
        <v>1091.4345000000001</v>
      </c>
      <c r="O14" s="51"/>
    </row>
    <row r="15" spans="1:15" s="4" customFormat="1" ht="12.75" customHeight="1" x14ac:dyDescent="0.2">
      <c r="A15" s="689">
        <v>5</v>
      </c>
      <c r="B15" s="55" t="s">
        <v>25</v>
      </c>
      <c r="C15" s="161" t="s">
        <v>26</v>
      </c>
      <c r="D15" s="53">
        <f>D16+D17+D18+D21+D25</f>
        <v>0</v>
      </c>
      <c r="E15" s="43">
        <f t="shared" ref="E15:J15" si="1">E16+E17+E18+E19+E20+E21+E22</f>
        <v>0</v>
      </c>
      <c r="F15" s="364">
        <f t="shared" si="1"/>
        <v>1021</v>
      </c>
      <c r="G15" s="364">
        <f t="shared" si="1"/>
        <v>236</v>
      </c>
      <c r="H15" s="364">
        <f t="shared" si="1"/>
        <v>236</v>
      </c>
      <c r="I15" s="364">
        <f t="shared" si="1"/>
        <v>274</v>
      </c>
      <c r="J15" s="364">
        <f t="shared" si="1"/>
        <v>275</v>
      </c>
      <c r="K15" s="57"/>
      <c r="L15" s="43"/>
      <c r="M15" s="771"/>
    </row>
    <row r="16" spans="1:15" s="4" customFormat="1" ht="12.75" customHeight="1" x14ac:dyDescent="0.2">
      <c r="A16" s="689">
        <v>6</v>
      </c>
      <c r="B16" s="40" t="s">
        <v>281</v>
      </c>
      <c r="C16" s="41" t="s">
        <v>28</v>
      </c>
      <c r="D16" s="42">
        <v>0</v>
      </c>
      <c r="E16" s="42">
        <v>0</v>
      </c>
      <c r="F16" s="365">
        <f t="shared" ref="F16:F22" si="2">G16+H16+I16+J16</f>
        <v>816</v>
      </c>
      <c r="G16" s="365">
        <v>186</v>
      </c>
      <c r="H16" s="365">
        <v>186</v>
      </c>
      <c r="I16" s="365">
        <f>186+36</f>
        <v>222</v>
      </c>
      <c r="J16" s="365">
        <f>186+36</f>
        <v>222</v>
      </c>
      <c r="K16" s="45"/>
      <c r="L16" s="44"/>
      <c r="M16" s="711"/>
    </row>
    <row r="17" spans="1:16" s="4" customFormat="1" ht="12.75" customHeight="1" x14ac:dyDescent="0.2">
      <c r="A17" s="689">
        <v>7</v>
      </c>
      <c r="B17" s="40" t="s">
        <v>282</v>
      </c>
      <c r="C17" s="41" t="s">
        <v>30</v>
      </c>
      <c r="D17" s="42">
        <v>0</v>
      </c>
      <c r="E17" s="42">
        <v>0</v>
      </c>
      <c r="F17" s="365">
        <f t="shared" si="2"/>
        <v>147</v>
      </c>
      <c r="G17" s="365">
        <v>36</v>
      </c>
      <c r="H17" s="365">
        <v>36</v>
      </c>
      <c r="I17" s="365">
        <f>35+2</f>
        <v>37</v>
      </c>
      <c r="J17" s="365">
        <f>36+2</f>
        <v>38</v>
      </c>
      <c r="K17" s="45"/>
      <c r="L17" s="44"/>
      <c r="M17" s="711"/>
      <c r="P17" s="48"/>
    </row>
    <row r="18" spans="1:16" s="4" customFormat="1" ht="12.75" customHeight="1" x14ac:dyDescent="0.2">
      <c r="A18" s="689">
        <v>8</v>
      </c>
      <c r="B18" s="40" t="s">
        <v>283</v>
      </c>
      <c r="C18" s="41" t="s">
        <v>32</v>
      </c>
      <c r="D18" s="42">
        <v>0</v>
      </c>
      <c r="E18" s="42">
        <v>0</v>
      </c>
      <c r="F18" s="365">
        <f t="shared" si="2"/>
        <v>4</v>
      </c>
      <c r="G18" s="365">
        <v>1</v>
      </c>
      <c r="H18" s="365">
        <v>1</v>
      </c>
      <c r="I18" s="365">
        <v>1</v>
      </c>
      <c r="J18" s="365">
        <v>1</v>
      </c>
      <c r="K18" s="45"/>
      <c r="L18" s="44"/>
      <c r="M18" s="711"/>
      <c r="P18" s="48"/>
    </row>
    <row r="19" spans="1:16" s="4" customFormat="1" ht="12.75" hidden="1" customHeight="1" x14ac:dyDescent="0.2">
      <c r="A19" s="689">
        <v>9</v>
      </c>
      <c r="B19" s="320" t="s">
        <v>33</v>
      </c>
      <c r="C19" s="7" t="s">
        <v>34</v>
      </c>
      <c r="D19" s="321"/>
      <c r="E19" s="321"/>
      <c r="F19" s="365">
        <f t="shared" si="2"/>
        <v>0</v>
      </c>
      <c r="G19" s="365"/>
      <c r="H19" s="365"/>
      <c r="I19" s="365"/>
      <c r="J19" s="365"/>
      <c r="K19" s="45"/>
      <c r="L19" s="44"/>
      <c r="M19" s="711"/>
      <c r="P19" s="48"/>
    </row>
    <row r="20" spans="1:16" s="4" customFormat="1" ht="12.75" hidden="1" customHeight="1" x14ac:dyDescent="0.2">
      <c r="A20" s="689">
        <v>10</v>
      </c>
      <c r="B20" s="40" t="s">
        <v>284</v>
      </c>
      <c r="C20" s="41" t="s">
        <v>36</v>
      </c>
      <c r="D20" s="42"/>
      <c r="E20" s="42"/>
      <c r="F20" s="365">
        <f t="shared" si="2"/>
        <v>0</v>
      </c>
      <c r="G20" s="365"/>
      <c r="H20" s="365"/>
      <c r="I20" s="365"/>
      <c r="J20" s="365"/>
      <c r="K20" s="45"/>
      <c r="L20" s="44"/>
      <c r="M20" s="711"/>
      <c r="P20" s="48"/>
    </row>
    <row r="21" spans="1:16" s="4" customFormat="1" ht="12.75" customHeight="1" x14ac:dyDescent="0.2">
      <c r="A21" s="689">
        <v>11</v>
      </c>
      <c r="B21" s="40" t="s">
        <v>285</v>
      </c>
      <c r="C21" s="41" t="s">
        <v>38</v>
      </c>
      <c r="D21" s="42">
        <v>0</v>
      </c>
      <c r="E21" s="42">
        <v>0</v>
      </c>
      <c r="F21" s="365">
        <f t="shared" si="2"/>
        <v>48</v>
      </c>
      <c r="G21" s="365">
        <v>11</v>
      </c>
      <c r="H21" s="365">
        <v>11</v>
      </c>
      <c r="I21" s="365">
        <f>9+4</f>
        <v>13</v>
      </c>
      <c r="J21" s="365">
        <f>11+2</f>
        <v>13</v>
      </c>
      <c r="K21" s="45"/>
      <c r="L21" s="44"/>
      <c r="M21" s="711"/>
      <c r="P21" s="48"/>
    </row>
    <row r="22" spans="1:16" s="4" customFormat="1" ht="12.75" customHeight="1" x14ac:dyDescent="0.2">
      <c r="A22" s="689">
        <v>12</v>
      </c>
      <c r="B22" s="40" t="s">
        <v>39</v>
      </c>
      <c r="C22" s="41" t="s">
        <v>40</v>
      </c>
      <c r="D22" s="42">
        <v>0</v>
      </c>
      <c r="E22" s="42">
        <v>0</v>
      </c>
      <c r="F22" s="365">
        <f t="shared" si="2"/>
        <v>6</v>
      </c>
      <c r="G22" s="365">
        <v>2</v>
      </c>
      <c r="H22" s="365">
        <v>2</v>
      </c>
      <c r="I22" s="365">
        <v>1</v>
      </c>
      <c r="J22" s="365">
        <v>1</v>
      </c>
      <c r="K22" s="45"/>
      <c r="L22" s="44"/>
      <c r="M22" s="711"/>
      <c r="P22" s="48"/>
    </row>
    <row r="23" spans="1:16" s="4" customFormat="1" ht="12.75" customHeight="1" x14ac:dyDescent="0.2">
      <c r="A23" s="689">
        <v>13</v>
      </c>
      <c r="B23" s="40" t="s">
        <v>41</v>
      </c>
      <c r="C23" s="52" t="s">
        <v>42</v>
      </c>
      <c r="D23" s="53">
        <f t="shared" ref="D23:J23" si="3">D24</f>
        <v>0</v>
      </c>
      <c r="E23" s="53">
        <f t="shared" si="3"/>
        <v>0</v>
      </c>
      <c r="F23" s="377">
        <f t="shared" si="3"/>
        <v>10</v>
      </c>
      <c r="G23" s="365">
        <f t="shared" si="3"/>
        <v>0</v>
      </c>
      <c r="H23" s="365">
        <f t="shared" si="3"/>
        <v>9</v>
      </c>
      <c r="I23" s="365">
        <f t="shared" si="3"/>
        <v>1</v>
      </c>
      <c r="J23" s="365">
        <f t="shared" si="3"/>
        <v>0</v>
      </c>
      <c r="K23" s="45"/>
      <c r="L23" s="44"/>
      <c r="M23" s="711"/>
      <c r="P23" s="48"/>
    </row>
    <row r="24" spans="1:16" s="4" customFormat="1" ht="12.75" customHeight="1" x14ac:dyDescent="0.2">
      <c r="A24" s="689">
        <v>14</v>
      </c>
      <c r="B24" s="40" t="s">
        <v>43</v>
      </c>
      <c r="C24" s="54" t="s">
        <v>44</v>
      </c>
      <c r="D24" s="42">
        <v>0</v>
      </c>
      <c r="E24" s="42">
        <v>0</v>
      </c>
      <c r="F24" s="365">
        <f>G24+H24+I24+J24</f>
        <v>10</v>
      </c>
      <c r="G24" s="365">
        <v>0</v>
      </c>
      <c r="H24" s="365">
        <v>9</v>
      </c>
      <c r="I24" s="365">
        <f>0+1</f>
        <v>1</v>
      </c>
      <c r="J24" s="365">
        <v>0</v>
      </c>
      <c r="K24" s="45"/>
      <c r="L24" s="44"/>
      <c r="M24" s="711"/>
      <c r="P24" s="48"/>
    </row>
    <row r="25" spans="1:16" s="4" customFormat="1" ht="12.75" hidden="1" customHeight="1" x14ac:dyDescent="0.2">
      <c r="A25" s="689">
        <v>15</v>
      </c>
      <c r="B25" s="40" t="s">
        <v>230</v>
      </c>
      <c r="C25" s="54" t="s">
        <v>231</v>
      </c>
      <c r="D25" s="42">
        <v>0</v>
      </c>
      <c r="E25" s="42">
        <v>0</v>
      </c>
      <c r="F25" s="365"/>
      <c r="G25" s="365"/>
      <c r="H25" s="365"/>
      <c r="I25" s="365"/>
      <c r="J25" s="365"/>
      <c r="K25" s="45"/>
      <c r="L25" s="44"/>
      <c r="M25" s="711"/>
      <c r="P25" s="48"/>
    </row>
    <row r="26" spans="1:16" s="4" customFormat="1" ht="12.75" customHeight="1" x14ac:dyDescent="0.2">
      <c r="A26" s="689">
        <v>16</v>
      </c>
      <c r="B26" s="55" t="s">
        <v>45</v>
      </c>
      <c r="C26" s="56" t="s">
        <v>46</v>
      </c>
      <c r="D26" s="53">
        <f>D32</f>
        <v>0</v>
      </c>
      <c r="E26" s="53">
        <f>E32</f>
        <v>0</v>
      </c>
      <c r="F26" s="364">
        <f>F27+F28+F29+F30+F31+F32+F33</f>
        <v>22</v>
      </c>
      <c r="G26" s="364">
        <f>G27+G28+G29+G30+G31+G32+G33</f>
        <v>5</v>
      </c>
      <c r="H26" s="364">
        <f>H27+H28+H29+H30+H31+H32+H33</f>
        <v>5</v>
      </c>
      <c r="I26" s="364">
        <f>I27+I28+I29+I30+I31+I32+I33</f>
        <v>6</v>
      </c>
      <c r="J26" s="364">
        <f>J27+J28+J29+J30+J31+J32+J33</f>
        <v>6</v>
      </c>
      <c r="K26" s="57"/>
      <c r="L26" s="43"/>
      <c r="M26" s="771"/>
    </row>
    <row r="27" spans="1:16" s="4" customFormat="1" ht="12.75" hidden="1" customHeight="1" x14ac:dyDescent="0.2">
      <c r="A27" s="689">
        <v>17</v>
      </c>
      <c r="B27" s="59" t="s">
        <v>47</v>
      </c>
      <c r="C27" s="41" t="s">
        <v>48</v>
      </c>
      <c r="D27" s="42"/>
      <c r="E27" s="42"/>
      <c r="F27" s="365">
        <f t="shared" ref="F27:F33" si="4">G27+H27+I27+J27</f>
        <v>0</v>
      </c>
      <c r="G27" s="365"/>
      <c r="H27" s="365"/>
      <c r="I27" s="365"/>
      <c r="J27" s="365"/>
      <c r="K27" s="45"/>
      <c r="L27" s="44"/>
      <c r="M27" s="711"/>
    </row>
    <row r="28" spans="1:16" s="4" customFormat="1" ht="12.75" hidden="1" customHeight="1" x14ac:dyDescent="0.2">
      <c r="A28" s="689">
        <v>18</v>
      </c>
      <c r="B28" s="59" t="s">
        <v>49</v>
      </c>
      <c r="C28" s="41" t="s">
        <v>50</v>
      </c>
      <c r="D28" s="42"/>
      <c r="E28" s="42"/>
      <c r="F28" s="365">
        <f t="shared" si="4"/>
        <v>0</v>
      </c>
      <c r="G28" s="365"/>
      <c r="H28" s="365"/>
      <c r="I28" s="365"/>
      <c r="J28" s="365"/>
      <c r="K28" s="45"/>
      <c r="L28" s="44"/>
      <c r="M28" s="711"/>
    </row>
    <row r="29" spans="1:16" s="4" customFormat="1" ht="12.75" hidden="1" customHeight="1" x14ac:dyDescent="0.2">
      <c r="A29" s="689">
        <v>19</v>
      </c>
      <c r="B29" s="59" t="s">
        <v>51</v>
      </c>
      <c r="C29" s="41" t="s">
        <v>52</v>
      </c>
      <c r="D29" s="42"/>
      <c r="E29" s="42"/>
      <c r="F29" s="365">
        <f t="shared" si="4"/>
        <v>0</v>
      </c>
      <c r="G29" s="365"/>
      <c r="H29" s="365"/>
      <c r="I29" s="365"/>
      <c r="J29" s="365"/>
      <c r="K29" s="45"/>
      <c r="L29" s="44"/>
      <c r="M29" s="711"/>
    </row>
    <row r="30" spans="1:16" s="4" customFormat="1" ht="25.5" hidden="1" customHeight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4"/>
        <v>0</v>
      </c>
      <c r="G30" s="365"/>
      <c r="H30" s="365"/>
      <c r="I30" s="365"/>
      <c r="J30" s="365"/>
      <c r="K30" s="45"/>
      <c r="L30" s="44"/>
      <c r="M30" s="711"/>
    </row>
    <row r="31" spans="1:16" s="4" customFormat="1" ht="12.75" hidden="1" customHeight="1" x14ac:dyDescent="0.2">
      <c r="A31" s="689">
        <v>21</v>
      </c>
      <c r="B31" s="59" t="s">
        <v>55</v>
      </c>
      <c r="C31" s="41" t="s">
        <v>56</v>
      </c>
      <c r="D31" s="42"/>
      <c r="E31" s="42"/>
      <c r="F31" s="365">
        <f t="shared" si="4"/>
        <v>0</v>
      </c>
      <c r="G31" s="365"/>
      <c r="H31" s="365"/>
      <c r="I31" s="365"/>
      <c r="J31" s="365"/>
      <c r="K31" s="45"/>
      <c r="L31" s="44"/>
      <c r="M31" s="711"/>
    </row>
    <row r="32" spans="1:16" s="4" customFormat="1" ht="12.75" customHeight="1" x14ac:dyDescent="0.2">
      <c r="A32" s="689">
        <v>22</v>
      </c>
      <c r="B32" s="59" t="s">
        <v>286</v>
      </c>
      <c r="C32" s="41" t="s">
        <v>58</v>
      </c>
      <c r="D32" s="42">
        <v>0</v>
      </c>
      <c r="E32" s="42">
        <v>0</v>
      </c>
      <c r="F32" s="365">
        <f t="shared" si="4"/>
        <v>22</v>
      </c>
      <c r="G32" s="365">
        <v>5</v>
      </c>
      <c r="H32" s="365">
        <v>5</v>
      </c>
      <c r="I32" s="365">
        <f>5+1</f>
        <v>6</v>
      </c>
      <c r="J32" s="365">
        <v>6</v>
      </c>
      <c r="K32" s="45"/>
      <c r="L32" s="44"/>
      <c r="M32" s="711"/>
      <c r="P32" s="366"/>
    </row>
    <row r="33" spans="1:13" s="4" customFormat="1" ht="12.75" hidden="1" customHeight="1" x14ac:dyDescent="0.2">
      <c r="A33" s="689">
        <v>23</v>
      </c>
      <c r="B33" s="59" t="s">
        <v>59</v>
      </c>
      <c r="C33" s="41" t="s">
        <v>60</v>
      </c>
      <c r="D33" s="42"/>
      <c r="E33" s="42"/>
      <c r="F33" s="365">
        <f t="shared" si="4"/>
        <v>0</v>
      </c>
      <c r="G33" s="365"/>
      <c r="H33" s="365"/>
      <c r="I33" s="365"/>
      <c r="J33" s="365"/>
      <c r="K33" s="45"/>
      <c r="L33" s="44"/>
      <c r="M33" s="711"/>
    </row>
    <row r="34" spans="1:13" s="4" customFormat="1" ht="25.5" customHeight="1" x14ac:dyDescent="0.2">
      <c r="A34" s="689">
        <v>24</v>
      </c>
      <c r="B34" s="169" t="s">
        <v>61</v>
      </c>
      <c r="C34" s="170">
        <v>20</v>
      </c>
      <c r="D34" s="171">
        <f>D35+D58+D59+D64</f>
        <v>0</v>
      </c>
      <c r="E34" s="378">
        <f t="shared" ref="E34:J34" si="5">E35+E58+E59+E64+E76</f>
        <v>0</v>
      </c>
      <c r="F34" s="378">
        <f>F35+F58+F59+F64+F76</f>
        <v>524.30999999999995</v>
      </c>
      <c r="G34" s="378">
        <f t="shared" si="5"/>
        <v>179</v>
      </c>
      <c r="H34" s="378">
        <f t="shared" si="5"/>
        <v>233.31</v>
      </c>
      <c r="I34" s="378">
        <f t="shared" si="5"/>
        <v>75</v>
      </c>
      <c r="J34" s="378">
        <f t="shared" si="5"/>
        <v>37</v>
      </c>
      <c r="K34" s="979">
        <f>F34*101.18%</f>
        <v>530.49685799999997</v>
      </c>
      <c r="L34" s="364">
        <f>F34*100.2%</f>
        <v>525.35861999999997</v>
      </c>
      <c r="M34" s="980">
        <f>F34*101.8%</f>
        <v>533.74757999999997</v>
      </c>
    </row>
    <row r="35" spans="1:13" s="4" customFormat="1" ht="12.75" customHeight="1" x14ac:dyDescent="0.2">
      <c r="A35" s="689">
        <v>25</v>
      </c>
      <c r="B35" s="160" t="s">
        <v>62</v>
      </c>
      <c r="C35" s="56" t="s">
        <v>63</v>
      </c>
      <c r="D35" s="377">
        <f>D36+D40+D43+D44+D47+D53+D50</f>
        <v>0</v>
      </c>
      <c r="E35" s="377">
        <f>E36+E40+E43+E44+E47+E53+E50</f>
        <v>0</v>
      </c>
      <c r="F35" s="364">
        <f>F36+F40+F43+F44+F45+F46+F47+F50+F53</f>
        <v>328</v>
      </c>
      <c r="G35" s="364">
        <f>G36+G40+G43+G44+G45+G46+G47+G50+G53</f>
        <v>144</v>
      </c>
      <c r="H35" s="364">
        <f>H36+H40+H43+H44+H45+H46+H47+H50+H53</f>
        <v>93</v>
      </c>
      <c r="I35" s="364">
        <f>I36+I40+I43+I44+I45+I46+I47+I50+I53</f>
        <v>63</v>
      </c>
      <c r="J35" s="364">
        <f>J36+J40+J43+J44+J45+J46+J47+J50+J53</f>
        <v>28</v>
      </c>
      <c r="K35" s="57"/>
      <c r="L35" s="43"/>
      <c r="M35" s="771"/>
    </row>
    <row r="36" spans="1:13" s="4" customFormat="1" ht="12.75" customHeight="1" x14ac:dyDescent="0.2">
      <c r="A36" s="689">
        <v>26</v>
      </c>
      <c r="B36" s="55" t="s">
        <v>64</v>
      </c>
      <c r="C36" s="56" t="s">
        <v>65</v>
      </c>
      <c r="D36" s="53">
        <f t="shared" ref="D36:J36" si="6">D37</f>
        <v>0</v>
      </c>
      <c r="E36" s="377">
        <f t="shared" si="6"/>
        <v>0</v>
      </c>
      <c r="F36" s="365">
        <f t="shared" si="6"/>
        <v>2</v>
      </c>
      <c r="G36" s="365">
        <f t="shared" si="6"/>
        <v>2</v>
      </c>
      <c r="H36" s="365">
        <f t="shared" si="6"/>
        <v>0</v>
      </c>
      <c r="I36" s="365">
        <f t="shared" si="6"/>
        <v>0</v>
      </c>
      <c r="J36" s="365">
        <f t="shared" si="6"/>
        <v>0</v>
      </c>
      <c r="K36" s="45"/>
      <c r="L36" s="44"/>
      <c r="M36" s="711"/>
    </row>
    <row r="37" spans="1:13" s="4" customFormat="1" ht="12.75" customHeight="1" x14ac:dyDescent="0.2">
      <c r="A37" s="689">
        <v>27</v>
      </c>
      <c r="B37" s="59" t="s">
        <v>64</v>
      </c>
      <c r="C37" s="41"/>
      <c r="D37" s="42">
        <v>0</v>
      </c>
      <c r="E37" s="379">
        <v>0</v>
      </c>
      <c r="F37" s="365">
        <f>G37+H37+I37+J37</f>
        <v>2</v>
      </c>
      <c r="G37" s="365">
        <v>2</v>
      </c>
      <c r="H37" s="365">
        <f>2-2</f>
        <v>0</v>
      </c>
      <c r="I37" s="365">
        <v>0</v>
      </c>
      <c r="J37" s="365">
        <v>0</v>
      </c>
      <c r="K37" s="45"/>
      <c r="L37" s="44"/>
      <c r="M37" s="711"/>
    </row>
    <row r="38" spans="1:13" s="4" customFormat="1" ht="12.75" hidden="1" customHeight="1" x14ac:dyDescent="0.2">
      <c r="A38" s="689">
        <v>28</v>
      </c>
      <c r="B38" s="59" t="s">
        <v>66</v>
      </c>
      <c r="C38" s="41"/>
      <c r="D38" s="42"/>
      <c r="E38" s="42"/>
      <c r="F38" s="365"/>
      <c r="G38" s="365"/>
      <c r="H38" s="365"/>
      <c r="I38" s="365"/>
      <c r="J38" s="365"/>
      <c r="K38" s="45"/>
      <c r="L38" s="44"/>
      <c r="M38" s="711"/>
    </row>
    <row r="39" spans="1:13" s="4" customFormat="1" ht="12.75" hidden="1" customHeight="1" x14ac:dyDescent="0.2">
      <c r="A39" s="689">
        <v>29</v>
      </c>
      <c r="B39" s="59" t="s">
        <v>67</v>
      </c>
      <c r="C39" s="41"/>
      <c r="D39" s="42"/>
      <c r="E39" s="42"/>
      <c r="F39" s="365"/>
      <c r="G39" s="365"/>
      <c r="H39" s="365"/>
      <c r="I39" s="365"/>
      <c r="J39" s="365"/>
      <c r="K39" s="45"/>
      <c r="L39" s="44"/>
      <c r="M39" s="711"/>
    </row>
    <row r="40" spans="1:13" s="4" customFormat="1" ht="12.75" customHeight="1" x14ac:dyDescent="0.2">
      <c r="A40" s="689">
        <v>30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364">
        <f>F41+F42</f>
        <v>10</v>
      </c>
      <c r="G40" s="364">
        <f>G41+G42</f>
        <v>6</v>
      </c>
      <c r="H40" s="364">
        <f>H41+H42</f>
        <v>4</v>
      </c>
      <c r="I40" s="364">
        <f>I41+I42</f>
        <v>0</v>
      </c>
      <c r="J40" s="364">
        <f>J41+J42</f>
        <v>0</v>
      </c>
      <c r="K40" s="45"/>
      <c r="L40" s="44"/>
      <c r="M40" s="711"/>
    </row>
    <row r="41" spans="1:13" s="4" customFormat="1" ht="12.75" customHeight="1" x14ac:dyDescent="0.2">
      <c r="A41" s="689">
        <v>31</v>
      </c>
      <c r="B41" s="59" t="s">
        <v>70</v>
      </c>
      <c r="C41" s="56"/>
      <c r="D41" s="53">
        <v>0</v>
      </c>
      <c r="E41" s="53">
        <v>0</v>
      </c>
      <c r="F41" s="365">
        <f>G41+H41+I41+J41</f>
        <v>10</v>
      </c>
      <c r="G41" s="365">
        <v>6</v>
      </c>
      <c r="H41" s="365">
        <v>4</v>
      </c>
      <c r="I41" s="365">
        <v>0</v>
      </c>
      <c r="J41" s="365">
        <v>0</v>
      </c>
      <c r="K41" s="45"/>
      <c r="L41" s="44"/>
      <c r="M41" s="711"/>
    </row>
    <row r="42" spans="1:13" s="4" customFormat="1" ht="12.75" hidden="1" customHeight="1" x14ac:dyDescent="0.2">
      <c r="A42" s="689">
        <v>32</v>
      </c>
      <c r="B42" s="59" t="s">
        <v>71</v>
      </c>
      <c r="C42" s="56"/>
      <c r="D42" s="53"/>
      <c r="E42" s="53"/>
      <c r="F42" s="365"/>
      <c r="G42" s="365"/>
      <c r="H42" s="365"/>
      <c r="I42" s="365"/>
      <c r="J42" s="365"/>
      <c r="K42" s="45"/>
      <c r="L42" s="44"/>
      <c r="M42" s="711"/>
    </row>
    <row r="43" spans="1:13" s="4" customFormat="1" ht="12.75" customHeight="1" x14ac:dyDescent="0.2">
      <c r="A43" s="689">
        <v>33</v>
      </c>
      <c r="B43" s="59" t="s">
        <v>72</v>
      </c>
      <c r="C43" s="41" t="s">
        <v>73</v>
      </c>
      <c r="D43" s="53">
        <v>0</v>
      </c>
      <c r="E43" s="53">
        <v>0</v>
      </c>
      <c r="F43" s="364">
        <f>G43+H43+I43+J43</f>
        <v>142</v>
      </c>
      <c r="G43" s="364">
        <v>70</v>
      </c>
      <c r="H43" s="364">
        <v>40</v>
      </c>
      <c r="I43" s="364">
        <v>20</v>
      </c>
      <c r="J43" s="364">
        <f>20-8</f>
        <v>12</v>
      </c>
      <c r="K43" s="45"/>
      <c r="L43" s="44"/>
      <c r="M43" s="711"/>
    </row>
    <row r="44" spans="1:13" s="4" customFormat="1" ht="12.75" customHeight="1" x14ac:dyDescent="0.2">
      <c r="A44" s="689">
        <v>34</v>
      </c>
      <c r="B44" s="59" t="s">
        <v>74</v>
      </c>
      <c r="C44" s="41" t="s">
        <v>75</v>
      </c>
      <c r="D44" s="53">
        <v>0</v>
      </c>
      <c r="E44" s="53">
        <v>0</v>
      </c>
      <c r="F44" s="364">
        <f>G44+H44+I44+J44</f>
        <v>59</v>
      </c>
      <c r="G44" s="364">
        <v>17</v>
      </c>
      <c r="H44" s="364">
        <v>17</v>
      </c>
      <c r="I44" s="364">
        <v>17</v>
      </c>
      <c r="J44" s="364">
        <v>8</v>
      </c>
      <c r="K44" s="45"/>
      <c r="L44" s="44"/>
      <c r="M44" s="711"/>
    </row>
    <row r="45" spans="1:13" s="4" customFormat="1" ht="12.75" hidden="1" customHeight="1" x14ac:dyDescent="0.2">
      <c r="A45" s="689">
        <v>35</v>
      </c>
      <c r="B45" s="59" t="s">
        <v>76</v>
      </c>
      <c r="C45" s="41" t="s">
        <v>77</v>
      </c>
      <c r="D45" s="53"/>
      <c r="E45" s="53"/>
      <c r="F45" s="364">
        <f>G45+H45+I45+J45</f>
        <v>0</v>
      </c>
      <c r="G45" s="364">
        <v>0</v>
      </c>
      <c r="H45" s="364">
        <v>0</v>
      </c>
      <c r="I45" s="364">
        <v>0</v>
      </c>
      <c r="J45" s="364">
        <v>0</v>
      </c>
      <c r="K45" s="45"/>
      <c r="L45" s="44"/>
      <c r="M45" s="711"/>
    </row>
    <row r="46" spans="1:13" s="4" customFormat="1" ht="12.75" hidden="1" customHeight="1" x14ac:dyDescent="0.2">
      <c r="A46" s="689">
        <v>36</v>
      </c>
      <c r="B46" s="59" t="s">
        <v>78</v>
      </c>
      <c r="C46" s="41" t="s">
        <v>79</v>
      </c>
      <c r="D46" s="53"/>
      <c r="E46" s="53"/>
      <c r="F46" s="364">
        <f>G46+H46+I46+J46</f>
        <v>0</v>
      </c>
      <c r="G46" s="364"/>
      <c r="H46" s="364"/>
      <c r="I46" s="364"/>
      <c r="J46" s="364"/>
      <c r="K46" s="45"/>
      <c r="L46" s="44"/>
      <c r="M46" s="711"/>
    </row>
    <row r="47" spans="1:13" s="4" customFormat="1" ht="12.75" customHeight="1" x14ac:dyDescent="0.2">
      <c r="A47" s="689">
        <v>37</v>
      </c>
      <c r="B47" s="59" t="s">
        <v>80</v>
      </c>
      <c r="C47" s="41" t="s">
        <v>81</v>
      </c>
      <c r="D47" s="53">
        <f>D48</f>
        <v>0</v>
      </c>
      <c r="E47" s="53">
        <f>E48</f>
        <v>0</v>
      </c>
      <c r="F47" s="364">
        <f>F48+F49</f>
        <v>5</v>
      </c>
      <c r="G47" s="364">
        <f>G48</f>
        <v>2</v>
      </c>
      <c r="H47" s="364">
        <f>H48</f>
        <v>1</v>
      </c>
      <c r="I47" s="364">
        <f>I48</f>
        <v>1</v>
      </c>
      <c r="J47" s="364">
        <f>J48+J49</f>
        <v>1</v>
      </c>
      <c r="K47" s="45"/>
      <c r="L47" s="44"/>
      <c r="M47" s="711"/>
    </row>
    <row r="48" spans="1:13" s="4" customFormat="1" ht="12.75" customHeight="1" x14ac:dyDescent="0.2">
      <c r="A48" s="689">
        <v>38</v>
      </c>
      <c r="B48" s="59" t="s">
        <v>80</v>
      </c>
      <c r="C48" s="41"/>
      <c r="D48" s="42">
        <v>0</v>
      </c>
      <c r="E48" s="42">
        <v>0</v>
      </c>
      <c r="F48" s="365">
        <f>G48+H48+I48+J48</f>
        <v>5</v>
      </c>
      <c r="G48" s="365">
        <v>2</v>
      </c>
      <c r="H48" s="365">
        <v>1</v>
      </c>
      <c r="I48" s="365">
        <v>1</v>
      </c>
      <c r="J48" s="365">
        <v>1</v>
      </c>
      <c r="K48" s="45"/>
      <c r="L48" s="44"/>
      <c r="M48" s="711"/>
    </row>
    <row r="49" spans="1:18" s="4" customFormat="1" ht="12.75" hidden="1" customHeight="1" x14ac:dyDescent="0.2">
      <c r="A49" s="689">
        <v>39</v>
      </c>
      <c r="B49" s="59" t="s">
        <v>82</v>
      </c>
      <c r="C49" s="41"/>
      <c r="D49" s="42">
        <v>0</v>
      </c>
      <c r="E49" s="42"/>
      <c r="F49" s="365"/>
      <c r="G49" s="365"/>
      <c r="H49" s="365"/>
      <c r="I49" s="365"/>
      <c r="J49" s="365"/>
      <c r="K49" s="45"/>
      <c r="L49" s="44"/>
      <c r="M49" s="711"/>
    </row>
    <row r="50" spans="1:18" s="4" customFormat="1" ht="12.75" customHeight="1" x14ac:dyDescent="0.2">
      <c r="A50" s="689">
        <v>40</v>
      </c>
      <c r="B50" s="73" t="s">
        <v>83</v>
      </c>
      <c r="C50" s="56" t="s">
        <v>84</v>
      </c>
      <c r="D50" s="53">
        <f t="shared" ref="D50:J50" si="7">D51+D52</f>
        <v>0</v>
      </c>
      <c r="E50" s="53">
        <f t="shared" si="7"/>
        <v>0</v>
      </c>
      <c r="F50" s="377">
        <f t="shared" si="7"/>
        <v>23</v>
      </c>
      <c r="G50" s="377">
        <f t="shared" si="7"/>
        <v>18</v>
      </c>
      <c r="H50" s="377">
        <f t="shared" si="7"/>
        <v>5</v>
      </c>
      <c r="I50" s="377">
        <f t="shared" si="7"/>
        <v>0</v>
      </c>
      <c r="J50" s="377">
        <f t="shared" si="7"/>
        <v>0</v>
      </c>
      <c r="K50" s="45"/>
      <c r="L50" s="44"/>
      <c r="M50" s="711"/>
    </row>
    <row r="51" spans="1:18" s="4" customFormat="1" ht="12.75" customHeight="1" x14ac:dyDescent="0.2">
      <c r="A51" s="689">
        <v>41</v>
      </c>
      <c r="B51" s="74" t="s">
        <v>83</v>
      </c>
      <c r="C51" s="41"/>
      <c r="D51" s="42">
        <v>0</v>
      </c>
      <c r="E51" s="42">
        <v>0</v>
      </c>
      <c r="F51" s="379">
        <f>G51+H51+I51+J51</f>
        <v>23</v>
      </c>
      <c r="G51" s="365">
        <v>18</v>
      </c>
      <c r="H51" s="365">
        <f>18-13</f>
        <v>5</v>
      </c>
      <c r="I51" s="365">
        <v>0</v>
      </c>
      <c r="J51" s="365">
        <v>0</v>
      </c>
      <c r="K51" s="45"/>
      <c r="L51" s="44"/>
      <c r="M51" s="711"/>
    </row>
    <row r="52" spans="1:18" s="4" customFormat="1" ht="12.75" hidden="1" customHeight="1" x14ac:dyDescent="0.2">
      <c r="A52" s="689">
        <v>42</v>
      </c>
      <c r="B52" s="74" t="s">
        <v>85</v>
      </c>
      <c r="C52" s="41"/>
      <c r="D52" s="42">
        <v>0</v>
      </c>
      <c r="E52" s="42">
        <v>0</v>
      </c>
      <c r="F52" s="377">
        <v>0</v>
      </c>
      <c r="G52" s="365"/>
      <c r="H52" s="365"/>
      <c r="I52" s="365"/>
      <c r="J52" s="365"/>
      <c r="K52" s="45"/>
      <c r="L52" s="44"/>
      <c r="M52" s="711"/>
    </row>
    <row r="53" spans="1:18" s="4" customFormat="1" ht="12.75" customHeight="1" x14ac:dyDescent="0.2">
      <c r="A53" s="689">
        <v>43</v>
      </c>
      <c r="B53" s="55" t="s">
        <v>86</v>
      </c>
      <c r="C53" s="56" t="s">
        <v>87</v>
      </c>
      <c r="D53" s="53">
        <f t="shared" ref="D53:J53" si="8">D54+D55+D56</f>
        <v>0</v>
      </c>
      <c r="E53" s="53">
        <f t="shared" si="8"/>
        <v>0</v>
      </c>
      <c r="F53" s="364">
        <f t="shared" si="8"/>
        <v>87</v>
      </c>
      <c r="G53" s="365">
        <f t="shared" si="8"/>
        <v>29</v>
      </c>
      <c r="H53" s="365">
        <f t="shared" si="8"/>
        <v>26</v>
      </c>
      <c r="I53" s="365">
        <f t="shared" si="8"/>
        <v>25</v>
      </c>
      <c r="J53" s="365">
        <f t="shared" si="8"/>
        <v>7</v>
      </c>
      <c r="K53" s="45"/>
      <c r="L53" s="44"/>
      <c r="M53" s="711"/>
    </row>
    <row r="54" spans="1:18" s="4" customFormat="1" ht="12.75" customHeight="1" x14ac:dyDescent="0.2">
      <c r="A54" s="689">
        <v>44</v>
      </c>
      <c r="B54" s="59" t="s">
        <v>88</v>
      </c>
      <c r="C54" s="41"/>
      <c r="D54" s="42">
        <v>0</v>
      </c>
      <c r="E54" s="42">
        <v>0</v>
      </c>
      <c r="F54" s="365">
        <f>G54+H54+I54+J54</f>
        <v>74</v>
      </c>
      <c r="G54" s="365">
        <v>21</v>
      </c>
      <c r="H54" s="365">
        <v>21</v>
      </c>
      <c r="I54" s="365">
        <f>21+4</f>
        <v>25</v>
      </c>
      <c r="J54" s="365">
        <f>21-14</f>
        <v>7</v>
      </c>
      <c r="K54" s="45"/>
      <c r="L54" s="44"/>
      <c r="M54" s="711"/>
    </row>
    <row r="55" spans="1:18" s="4" customFormat="1" ht="12.75" customHeight="1" x14ac:dyDescent="0.2">
      <c r="A55" s="689">
        <v>45</v>
      </c>
      <c r="B55" s="59" t="s">
        <v>89</v>
      </c>
      <c r="C55" s="41"/>
      <c r="D55" s="42">
        <v>0</v>
      </c>
      <c r="E55" s="42">
        <v>0</v>
      </c>
      <c r="F55" s="365">
        <f>G55+H55+I55+J55</f>
        <v>13</v>
      </c>
      <c r="G55" s="365">
        <f>13-5</f>
        <v>8</v>
      </c>
      <c r="H55" s="365">
        <f>10-5</f>
        <v>5</v>
      </c>
      <c r="I55" s="365">
        <v>0</v>
      </c>
      <c r="J55" s="365">
        <v>0</v>
      </c>
      <c r="K55" s="45"/>
      <c r="L55" s="44"/>
      <c r="M55" s="711"/>
    </row>
    <row r="56" spans="1:18" s="4" customFormat="1" ht="12.75" hidden="1" customHeight="1" x14ac:dyDescent="0.2">
      <c r="A56" s="689">
        <v>46</v>
      </c>
      <c r="B56" s="59" t="s">
        <v>90</v>
      </c>
      <c r="C56" s="41"/>
      <c r="D56" s="42">
        <v>0</v>
      </c>
      <c r="E56" s="42">
        <v>0</v>
      </c>
      <c r="F56" s="365">
        <f>G56+H56+I56+J56</f>
        <v>0</v>
      </c>
      <c r="G56" s="365">
        <v>0</v>
      </c>
      <c r="H56" s="365">
        <v>0</v>
      </c>
      <c r="I56" s="365">
        <v>0</v>
      </c>
      <c r="J56" s="365">
        <v>0</v>
      </c>
      <c r="K56" s="57"/>
      <c r="L56" s="43"/>
      <c r="M56" s="771"/>
    </row>
    <row r="57" spans="1:18" s="4" customFormat="1" ht="12.75" hidden="1" customHeight="1" x14ac:dyDescent="0.2">
      <c r="A57" s="689">
        <v>47</v>
      </c>
      <c r="B57" s="55" t="s">
        <v>91</v>
      </c>
      <c r="C57" s="75" t="s">
        <v>92</v>
      </c>
      <c r="D57" s="53">
        <v>0</v>
      </c>
      <c r="E57" s="53">
        <v>0</v>
      </c>
      <c r="F57" s="364"/>
      <c r="G57" s="364"/>
      <c r="H57" s="364"/>
      <c r="I57" s="364"/>
      <c r="J57" s="364"/>
      <c r="K57" s="57"/>
      <c r="L57" s="43"/>
      <c r="M57" s="771"/>
      <c r="R57" s="59"/>
    </row>
    <row r="58" spans="1:18" s="4" customFormat="1" ht="12.75" customHeight="1" x14ac:dyDescent="0.2">
      <c r="A58" s="689">
        <v>48</v>
      </c>
      <c r="B58" s="74" t="s">
        <v>93</v>
      </c>
      <c r="C58" s="56" t="s">
        <v>94</v>
      </c>
      <c r="D58" s="53">
        <v>0</v>
      </c>
      <c r="E58" s="53">
        <v>0</v>
      </c>
      <c r="F58" s="364">
        <f>G58+H58+I58+J58</f>
        <v>45</v>
      </c>
      <c r="G58" s="364">
        <v>12</v>
      </c>
      <c r="H58" s="364">
        <v>12</v>
      </c>
      <c r="I58" s="364">
        <v>12</v>
      </c>
      <c r="J58" s="364">
        <v>9</v>
      </c>
      <c r="K58" s="57"/>
      <c r="L58" s="43"/>
      <c r="M58" s="771"/>
    </row>
    <row r="59" spans="1:18" s="4" customFormat="1" ht="12.75" customHeight="1" x14ac:dyDescent="0.2">
      <c r="A59" s="689">
        <v>49</v>
      </c>
      <c r="B59" s="55" t="s">
        <v>95</v>
      </c>
      <c r="C59" s="56" t="s">
        <v>96</v>
      </c>
      <c r="D59" s="53">
        <f>D61+D62+D63</f>
        <v>0</v>
      </c>
      <c r="E59" s="53">
        <f>E61+E62+E63</f>
        <v>0</v>
      </c>
      <c r="F59" s="364">
        <f>F60+F61+F62+F63</f>
        <v>14</v>
      </c>
      <c r="G59" s="364">
        <f>G60+G61+G62+G63</f>
        <v>10</v>
      </c>
      <c r="H59" s="364">
        <f>H60+H61+H62</f>
        <v>4</v>
      </c>
      <c r="I59" s="364">
        <f>I60+I61+I62</f>
        <v>0</v>
      </c>
      <c r="J59" s="364">
        <f>J60+J61+J62+J63</f>
        <v>0</v>
      </c>
      <c r="K59" s="57"/>
      <c r="L59" s="43"/>
      <c r="M59" s="771"/>
    </row>
    <row r="60" spans="1:18" s="4" customFormat="1" ht="12.75" hidden="1" customHeight="1" x14ac:dyDescent="0.2">
      <c r="A60" s="689">
        <v>50</v>
      </c>
      <c r="B60" s="59" t="s">
        <v>97</v>
      </c>
      <c r="C60" s="41" t="s">
        <v>98</v>
      </c>
      <c r="D60" s="42">
        <v>0</v>
      </c>
      <c r="E60" s="42">
        <v>0</v>
      </c>
      <c r="F60" s="365">
        <f>G60+H60+I60+J60</f>
        <v>0</v>
      </c>
      <c r="G60" s="365">
        <v>0</v>
      </c>
      <c r="H60" s="365">
        <v>0</v>
      </c>
      <c r="I60" s="365">
        <v>0</v>
      </c>
      <c r="J60" s="365">
        <v>0</v>
      </c>
      <c r="K60" s="45"/>
      <c r="L60" s="44"/>
      <c r="M60" s="711"/>
    </row>
    <row r="61" spans="1:18" s="4" customFormat="1" ht="12.75" customHeight="1" x14ac:dyDescent="0.2">
      <c r="A61" s="689">
        <v>51</v>
      </c>
      <c r="B61" s="59" t="s">
        <v>99</v>
      </c>
      <c r="C61" s="41" t="s">
        <v>100</v>
      </c>
      <c r="D61" s="42">
        <v>0</v>
      </c>
      <c r="E61" s="42">
        <v>0</v>
      </c>
      <c r="F61" s="365">
        <f>G61+H61+I61+J61</f>
        <v>5</v>
      </c>
      <c r="G61" s="365">
        <v>5</v>
      </c>
      <c r="H61" s="365">
        <f>2-2</f>
        <v>0</v>
      </c>
      <c r="I61" s="365">
        <v>0</v>
      </c>
      <c r="J61" s="365">
        <v>0</v>
      </c>
      <c r="K61" s="45"/>
      <c r="L61" s="44"/>
      <c r="M61" s="711"/>
    </row>
    <row r="62" spans="1:18" s="4" customFormat="1" ht="12.75" customHeight="1" x14ac:dyDescent="0.2">
      <c r="A62" s="689">
        <v>52</v>
      </c>
      <c r="B62" s="59" t="s">
        <v>101</v>
      </c>
      <c r="C62" s="41" t="s">
        <v>102</v>
      </c>
      <c r="D62" s="42">
        <v>0</v>
      </c>
      <c r="E62" s="42">
        <v>0</v>
      </c>
      <c r="F62" s="365">
        <f>G62+H62+I62+J62</f>
        <v>9</v>
      </c>
      <c r="G62" s="365">
        <v>5</v>
      </c>
      <c r="H62" s="365">
        <f>5-1</f>
        <v>4</v>
      </c>
      <c r="I62" s="365">
        <v>0</v>
      </c>
      <c r="J62" s="365">
        <v>0</v>
      </c>
      <c r="K62" s="45"/>
      <c r="L62" s="44"/>
      <c r="M62" s="711"/>
    </row>
    <row r="63" spans="1:18" s="4" customFormat="1" ht="12.75" hidden="1" customHeight="1" x14ac:dyDescent="0.2">
      <c r="A63" s="689">
        <v>53</v>
      </c>
      <c r="B63" s="59" t="s">
        <v>287</v>
      </c>
      <c r="C63" s="41" t="s">
        <v>102</v>
      </c>
      <c r="D63" s="42">
        <v>0</v>
      </c>
      <c r="E63" s="42">
        <v>0</v>
      </c>
      <c r="F63" s="365">
        <f>G63+H63+I63+J63</f>
        <v>0</v>
      </c>
      <c r="G63" s="365">
        <v>0</v>
      </c>
      <c r="H63" s="365">
        <v>0</v>
      </c>
      <c r="I63" s="365">
        <v>0</v>
      </c>
      <c r="J63" s="365">
        <v>0</v>
      </c>
      <c r="K63" s="45"/>
      <c r="L63" s="44"/>
      <c r="M63" s="711"/>
    </row>
    <row r="64" spans="1:18" s="4" customFormat="1" ht="12.75" customHeight="1" x14ac:dyDescent="0.2">
      <c r="A64" s="689">
        <v>54</v>
      </c>
      <c r="B64" s="76" t="s">
        <v>104</v>
      </c>
      <c r="C64" s="56" t="s">
        <v>105</v>
      </c>
      <c r="D64" s="53">
        <f>D65+D67+D68+D66</f>
        <v>0</v>
      </c>
      <c r="E64" s="53">
        <f>E65+E67+E68+E66</f>
        <v>0</v>
      </c>
      <c r="F64" s="377">
        <f>F65+F67+F68+F66</f>
        <v>137.30999999999997</v>
      </c>
      <c r="G64" s="364">
        <f>G65+G66+G67+G68</f>
        <v>13</v>
      </c>
      <c r="H64" s="364">
        <f>H65+H66+H67</f>
        <v>124.30999999999999</v>
      </c>
      <c r="I64" s="364">
        <f>I65+I66+I67</f>
        <v>0</v>
      </c>
      <c r="J64" s="364">
        <f>J65+J66+J67+J68</f>
        <v>0</v>
      </c>
      <c r="K64" s="57"/>
      <c r="L64" s="43"/>
      <c r="M64" s="771"/>
    </row>
    <row r="65" spans="1:13" s="4" customFormat="1" ht="12.75" customHeight="1" x14ac:dyDescent="0.2">
      <c r="A65" s="689">
        <v>55</v>
      </c>
      <c r="B65" s="62" t="s">
        <v>106</v>
      </c>
      <c r="C65" s="63" t="s">
        <v>107</v>
      </c>
      <c r="D65" s="64">
        <v>0</v>
      </c>
      <c r="E65" s="64">
        <v>0</v>
      </c>
      <c r="F65" s="797">
        <f>G65+H65+I65+J65</f>
        <v>0</v>
      </c>
      <c r="G65" s="797">
        <v>0</v>
      </c>
      <c r="H65" s="797">
        <v>0</v>
      </c>
      <c r="I65" s="797">
        <v>0</v>
      </c>
      <c r="J65" s="797">
        <v>0</v>
      </c>
      <c r="K65" s="31"/>
      <c r="L65" s="30"/>
      <c r="M65" s="897"/>
    </row>
    <row r="66" spans="1:13" s="4" customFormat="1" ht="12.75" customHeight="1" x14ac:dyDescent="0.2">
      <c r="A66" s="689">
        <v>56</v>
      </c>
      <c r="B66" s="393" t="s">
        <v>108</v>
      </c>
      <c r="C66" s="201" t="s">
        <v>109</v>
      </c>
      <c r="D66" s="394">
        <v>0</v>
      </c>
      <c r="E66" s="394">
        <v>0</v>
      </c>
      <c r="F66" s="803">
        <f>G66+H66+I66+J66</f>
        <v>23.7</v>
      </c>
      <c r="G66" s="803">
        <f>0+3</f>
        <v>3</v>
      </c>
      <c r="H66" s="803">
        <v>20.7</v>
      </c>
      <c r="I66" s="803">
        <v>0</v>
      </c>
      <c r="J66" s="803">
        <v>0</v>
      </c>
      <c r="K66" s="165"/>
      <c r="L66" s="165"/>
      <c r="M66" s="682"/>
    </row>
    <row r="67" spans="1:13" s="4" customFormat="1" x14ac:dyDescent="0.2">
      <c r="A67" s="689">
        <v>57</v>
      </c>
      <c r="B67" s="393" t="s">
        <v>110</v>
      </c>
      <c r="C67" s="201" t="s">
        <v>111</v>
      </c>
      <c r="D67" s="394">
        <v>0</v>
      </c>
      <c r="E67" s="394">
        <v>0</v>
      </c>
      <c r="F67" s="803">
        <f>G67+H67+I67+J67</f>
        <v>113.60999999999999</v>
      </c>
      <c r="G67" s="803">
        <v>10</v>
      </c>
      <c r="H67" s="803">
        <f>8+31.88+63.73</f>
        <v>103.60999999999999</v>
      </c>
      <c r="I67" s="803">
        <v>0</v>
      </c>
      <c r="J67" s="803">
        <v>0</v>
      </c>
      <c r="K67" s="165"/>
      <c r="L67" s="165"/>
      <c r="M67" s="682"/>
    </row>
    <row r="68" spans="1:13" s="4" customFormat="1" ht="13.5" hidden="1" thickBot="1" x14ac:dyDescent="0.25">
      <c r="A68" s="689">
        <v>58</v>
      </c>
      <c r="B68" s="395" t="s">
        <v>288</v>
      </c>
      <c r="C68" s="396" t="s">
        <v>111</v>
      </c>
      <c r="D68" s="397">
        <v>0</v>
      </c>
      <c r="E68" s="398">
        <v>0</v>
      </c>
      <c r="F68" s="804">
        <f>G68+H68+I68+J68</f>
        <v>0</v>
      </c>
      <c r="G68" s="805"/>
      <c r="H68" s="805"/>
      <c r="I68" s="805"/>
      <c r="J68" s="805"/>
      <c r="K68" s="400"/>
      <c r="L68" s="399"/>
      <c r="M68" s="898"/>
    </row>
    <row r="69" spans="1:13" s="4" customFormat="1" hidden="1" x14ac:dyDescent="0.2">
      <c r="A69" s="689">
        <v>59</v>
      </c>
      <c r="B69" s="194" t="s">
        <v>113</v>
      </c>
      <c r="C69" s="69" t="s">
        <v>114</v>
      </c>
      <c r="D69" s="401" t="s">
        <v>139</v>
      </c>
      <c r="E69" s="401" t="s">
        <v>139</v>
      </c>
      <c r="F69" s="414">
        <f>F70+F71</f>
        <v>0</v>
      </c>
      <c r="G69" s="414">
        <f>G70+G71</f>
        <v>0</v>
      </c>
      <c r="H69" s="414">
        <f>H70+H71</f>
        <v>0</v>
      </c>
      <c r="I69" s="414">
        <f>I70+I71</f>
        <v>0</v>
      </c>
      <c r="J69" s="414">
        <f>J70+J71</f>
        <v>0</v>
      </c>
      <c r="K69" s="38"/>
      <c r="L69" s="37"/>
      <c r="M69" s="843"/>
    </row>
    <row r="70" spans="1:13" s="4" customFormat="1" hidden="1" x14ac:dyDescent="0.2">
      <c r="A70" s="689">
        <v>60</v>
      </c>
      <c r="B70" s="59" t="s">
        <v>115</v>
      </c>
      <c r="C70" s="41" t="s">
        <v>116</v>
      </c>
      <c r="D70" s="190" t="s">
        <v>139</v>
      </c>
      <c r="E70" s="190" t="s">
        <v>139</v>
      </c>
      <c r="F70" s="365"/>
      <c r="G70" s="365"/>
      <c r="H70" s="365"/>
      <c r="I70" s="365"/>
      <c r="J70" s="365"/>
      <c r="K70" s="45"/>
      <c r="L70" s="44"/>
      <c r="M70" s="711"/>
    </row>
    <row r="71" spans="1:13" s="4" customFormat="1" hidden="1" x14ac:dyDescent="0.2">
      <c r="A71" s="689">
        <v>61</v>
      </c>
      <c r="B71" s="59" t="s">
        <v>117</v>
      </c>
      <c r="C71" s="41" t="s">
        <v>118</v>
      </c>
      <c r="D71" s="190" t="s">
        <v>139</v>
      </c>
      <c r="E71" s="190" t="s">
        <v>139</v>
      </c>
      <c r="F71" s="365"/>
      <c r="G71" s="365"/>
      <c r="H71" s="365"/>
      <c r="I71" s="365"/>
      <c r="J71" s="365"/>
      <c r="K71" s="45"/>
      <c r="L71" s="44"/>
      <c r="M71" s="711"/>
    </row>
    <row r="72" spans="1:13" s="4" customFormat="1" hidden="1" x14ac:dyDescent="0.2">
      <c r="A72" s="689">
        <v>62</v>
      </c>
      <c r="B72" s="55" t="s">
        <v>119</v>
      </c>
      <c r="C72" s="56" t="s">
        <v>120</v>
      </c>
      <c r="D72" s="189" t="s">
        <v>139</v>
      </c>
      <c r="E72" s="189" t="s">
        <v>139</v>
      </c>
      <c r="F72" s="364"/>
      <c r="G72" s="364"/>
      <c r="H72" s="364"/>
      <c r="I72" s="364"/>
      <c r="J72" s="364"/>
      <c r="K72" s="57"/>
      <c r="L72" s="43"/>
      <c r="M72" s="771"/>
    </row>
    <row r="73" spans="1:13" s="4" customFormat="1" hidden="1" x14ac:dyDescent="0.2">
      <c r="A73" s="689">
        <v>63</v>
      </c>
      <c r="B73" s="55" t="s">
        <v>121</v>
      </c>
      <c r="C73" s="56" t="s">
        <v>122</v>
      </c>
      <c r="D73" s="189" t="s">
        <v>139</v>
      </c>
      <c r="E73" s="189" t="s">
        <v>139</v>
      </c>
      <c r="F73" s="364"/>
      <c r="G73" s="364"/>
      <c r="H73" s="364"/>
      <c r="I73" s="364"/>
      <c r="J73" s="364"/>
      <c r="K73" s="57"/>
      <c r="L73" s="43"/>
      <c r="M73" s="771"/>
    </row>
    <row r="74" spans="1:13" s="4" customFormat="1" hidden="1" x14ac:dyDescent="0.2">
      <c r="A74" s="689">
        <v>64</v>
      </c>
      <c r="B74" s="55" t="s">
        <v>123</v>
      </c>
      <c r="C74" s="56" t="s">
        <v>124</v>
      </c>
      <c r="D74" s="189" t="s">
        <v>139</v>
      </c>
      <c r="E74" s="189" t="s">
        <v>139</v>
      </c>
      <c r="F74" s="364">
        <v>0</v>
      </c>
      <c r="G74" s="364">
        <v>0</v>
      </c>
      <c r="H74" s="364">
        <v>0</v>
      </c>
      <c r="I74" s="364">
        <v>0</v>
      </c>
      <c r="J74" s="364">
        <v>0</v>
      </c>
      <c r="K74" s="57"/>
      <c r="L74" s="43"/>
      <c r="M74" s="771"/>
    </row>
    <row r="75" spans="1:13" s="4" customFormat="1" hidden="1" x14ac:dyDescent="0.2">
      <c r="A75" s="689">
        <v>65</v>
      </c>
      <c r="B75" s="402" t="s">
        <v>125</v>
      </c>
      <c r="C75" s="403" t="s">
        <v>126</v>
      </c>
      <c r="D75" s="404" t="s">
        <v>139</v>
      </c>
      <c r="E75" s="404" t="s">
        <v>139</v>
      </c>
      <c r="F75" s="796"/>
      <c r="G75" s="796"/>
      <c r="H75" s="796"/>
      <c r="I75" s="796"/>
      <c r="J75" s="796"/>
      <c r="K75" s="31"/>
      <c r="L75" s="30"/>
      <c r="M75" s="897"/>
    </row>
    <row r="76" spans="1:13" s="4" customFormat="1" hidden="1" x14ac:dyDescent="0.2">
      <c r="A76" s="689">
        <v>66</v>
      </c>
      <c r="B76" s="55" t="s">
        <v>127</v>
      </c>
      <c r="C76" s="56" t="s">
        <v>128</v>
      </c>
      <c r="D76" s="53">
        <f t="shared" ref="D76:J76" si="9">D77+D78</f>
        <v>0</v>
      </c>
      <c r="E76" s="53">
        <f>E77+E78</f>
        <v>0</v>
      </c>
      <c r="F76" s="377">
        <f t="shared" si="9"/>
        <v>0</v>
      </c>
      <c r="G76" s="377">
        <f t="shared" si="9"/>
        <v>0</v>
      </c>
      <c r="H76" s="377">
        <f t="shared" si="9"/>
        <v>0</v>
      </c>
      <c r="I76" s="377">
        <f t="shared" si="9"/>
        <v>0</v>
      </c>
      <c r="J76" s="377">
        <f t="shared" si="9"/>
        <v>0</v>
      </c>
      <c r="K76" s="57"/>
      <c r="L76" s="43"/>
      <c r="M76" s="771"/>
    </row>
    <row r="77" spans="1:13" s="4" customFormat="1" hidden="1" x14ac:dyDescent="0.2">
      <c r="A77" s="689">
        <v>67</v>
      </c>
      <c r="B77" s="59" t="s">
        <v>129</v>
      </c>
      <c r="C77" s="41" t="s">
        <v>130</v>
      </c>
      <c r="D77" s="405">
        <v>0</v>
      </c>
      <c r="E77" s="405">
        <v>0</v>
      </c>
      <c r="F77" s="806">
        <f>G77+H77+I77+J77</f>
        <v>0</v>
      </c>
      <c r="G77" s="806"/>
      <c r="H77" s="806"/>
      <c r="I77" s="806"/>
      <c r="J77" s="806"/>
      <c r="K77" s="406"/>
      <c r="L77" s="275"/>
      <c r="M77" s="899"/>
    </row>
    <row r="78" spans="1:13" s="4" customFormat="1" hidden="1" x14ac:dyDescent="0.2">
      <c r="A78" s="689">
        <v>68</v>
      </c>
      <c r="B78" s="192" t="s">
        <v>131</v>
      </c>
      <c r="C78" s="407" t="s">
        <v>132</v>
      </c>
      <c r="D78" s="408">
        <f>D86+D81</f>
        <v>0</v>
      </c>
      <c r="E78" s="408">
        <f>E86+E81</f>
        <v>0</v>
      </c>
      <c r="F78" s="807">
        <f>F86</f>
        <v>0</v>
      </c>
      <c r="G78" s="807">
        <f>G86</f>
        <v>0</v>
      </c>
      <c r="H78" s="807">
        <f>H86</f>
        <v>0</v>
      </c>
      <c r="I78" s="807">
        <f>I86</f>
        <v>0</v>
      </c>
      <c r="J78" s="807">
        <f>J86</f>
        <v>0</v>
      </c>
      <c r="K78" s="409"/>
      <c r="L78" s="257"/>
      <c r="M78" s="900"/>
    </row>
    <row r="79" spans="1:13" s="4" customFormat="1" hidden="1" x14ac:dyDescent="0.2">
      <c r="A79" s="689">
        <v>69</v>
      </c>
      <c r="B79" s="59" t="s">
        <v>133</v>
      </c>
      <c r="C79" s="41"/>
      <c r="D79" s="42"/>
      <c r="E79" s="42"/>
      <c r="F79" s="365"/>
      <c r="G79" s="365"/>
      <c r="H79" s="365"/>
      <c r="I79" s="365"/>
      <c r="J79" s="365"/>
      <c r="K79" s="45"/>
      <c r="L79" s="44"/>
      <c r="M79" s="711"/>
    </row>
    <row r="80" spans="1:13" s="4" customFormat="1" hidden="1" x14ac:dyDescent="0.2">
      <c r="A80" s="689">
        <v>70</v>
      </c>
      <c r="B80" s="59" t="s">
        <v>254</v>
      </c>
      <c r="C80" s="41"/>
      <c r="D80" s="42"/>
      <c r="E80" s="42"/>
      <c r="F80" s="365"/>
      <c r="G80" s="365"/>
      <c r="H80" s="365"/>
      <c r="I80" s="365"/>
      <c r="J80" s="365"/>
      <c r="K80" s="45"/>
      <c r="L80" s="44"/>
      <c r="M80" s="711"/>
    </row>
    <row r="81" spans="1:13" s="4" customFormat="1" ht="13.5" hidden="1" thickBot="1" x14ac:dyDescent="0.25">
      <c r="A81" s="689">
        <v>71</v>
      </c>
      <c r="B81" s="901" t="s">
        <v>336</v>
      </c>
      <c r="C81" s="844"/>
      <c r="D81" s="712">
        <v>0</v>
      </c>
      <c r="E81" s="712">
        <v>0</v>
      </c>
      <c r="F81" s="821">
        <v>0</v>
      </c>
      <c r="G81" s="821">
        <v>0</v>
      </c>
      <c r="H81" s="821">
        <v>0</v>
      </c>
      <c r="I81" s="821">
        <v>0</v>
      </c>
      <c r="J81" s="821">
        <v>0</v>
      </c>
      <c r="K81" s="902"/>
      <c r="L81" s="715"/>
      <c r="M81" s="716"/>
    </row>
    <row r="82" spans="1:13" s="4" customFormat="1" hidden="1" x14ac:dyDescent="0.2">
      <c r="A82" s="689">
        <v>72</v>
      </c>
      <c r="B82" s="302" t="s">
        <v>134</v>
      </c>
      <c r="C82" s="86"/>
      <c r="D82" s="894"/>
      <c r="E82" s="894"/>
      <c r="F82" s="167"/>
      <c r="G82" s="167"/>
      <c r="H82" s="167"/>
      <c r="I82" s="167"/>
      <c r="J82" s="167"/>
      <c r="K82" s="895"/>
      <c r="L82" s="167"/>
      <c r="M82" s="896"/>
    </row>
    <row r="83" spans="1:13" s="4" customFormat="1" hidden="1" x14ac:dyDescent="0.2">
      <c r="A83" s="689">
        <v>73</v>
      </c>
      <c r="B83" s="59" t="s">
        <v>135</v>
      </c>
      <c r="C83" s="41"/>
      <c r="D83" s="42"/>
      <c r="E83" s="42"/>
      <c r="F83" s="44"/>
      <c r="G83" s="44"/>
      <c r="H83" s="44"/>
      <c r="I83" s="44"/>
      <c r="J83" s="44"/>
      <c r="K83" s="45"/>
      <c r="L83" s="44"/>
      <c r="M83" s="249"/>
    </row>
    <row r="84" spans="1:13" s="4" customFormat="1" hidden="1" x14ac:dyDescent="0.2">
      <c r="A84" s="689">
        <v>74</v>
      </c>
      <c r="B84" s="90" t="s">
        <v>239</v>
      </c>
      <c r="C84" s="41"/>
      <c r="D84" s="42"/>
      <c r="E84" s="42"/>
      <c r="F84" s="44"/>
      <c r="G84" s="44"/>
      <c r="H84" s="44"/>
      <c r="I84" s="44"/>
      <c r="J84" s="44"/>
      <c r="K84" s="45"/>
      <c r="L84" s="44"/>
      <c r="M84" s="249"/>
    </row>
    <row r="85" spans="1:13" s="4" customFormat="1" hidden="1" x14ac:dyDescent="0.2">
      <c r="A85" s="689">
        <v>75</v>
      </c>
      <c r="B85" s="90" t="s">
        <v>136</v>
      </c>
      <c r="C85" s="41"/>
      <c r="D85" s="42"/>
      <c r="E85" s="42"/>
      <c r="F85" s="44"/>
      <c r="G85" s="44"/>
      <c r="H85" s="44"/>
      <c r="I85" s="44"/>
      <c r="J85" s="44"/>
      <c r="K85" s="45"/>
      <c r="L85" s="44"/>
      <c r="M85" s="249"/>
    </row>
    <row r="86" spans="1:13" s="4" customFormat="1" ht="13.5" hidden="1" thickBot="1" x14ac:dyDescent="0.25">
      <c r="A86" s="689">
        <v>76</v>
      </c>
      <c r="B86" s="90" t="s">
        <v>138</v>
      </c>
      <c r="C86" s="81"/>
      <c r="D86" s="82">
        <v>0</v>
      </c>
      <c r="E86" s="82">
        <v>0</v>
      </c>
      <c r="F86" s="83">
        <f>G86+H86+I86+J86</f>
        <v>0</v>
      </c>
      <c r="G86" s="83">
        <v>0</v>
      </c>
      <c r="H86" s="83">
        <v>0</v>
      </c>
      <c r="I86" s="83">
        <v>0</v>
      </c>
      <c r="J86" s="83">
        <v>0</v>
      </c>
      <c r="K86" s="84"/>
      <c r="L86" s="83"/>
      <c r="M86" s="410"/>
    </row>
    <row r="87" spans="1:13" s="4" customFormat="1" hidden="1" x14ac:dyDescent="0.2">
      <c r="A87" s="689">
        <v>77</v>
      </c>
      <c r="B87" s="90" t="s">
        <v>138</v>
      </c>
      <c r="C87" s="92"/>
      <c r="D87" s="411"/>
      <c r="E87" s="411"/>
      <c r="F87" s="412"/>
      <c r="G87" s="412"/>
      <c r="H87" s="412"/>
      <c r="I87" s="412"/>
      <c r="J87" s="412"/>
      <c r="K87" s="413"/>
      <c r="L87" s="412"/>
      <c r="M87" s="412"/>
    </row>
    <row r="88" spans="1:13" s="4" customFormat="1" ht="25.5" hidden="1" x14ac:dyDescent="0.2">
      <c r="A88" s="689">
        <v>78</v>
      </c>
      <c r="B88" s="197" t="s">
        <v>140</v>
      </c>
      <c r="C88" s="69" t="s">
        <v>141</v>
      </c>
      <c r="D88" s="96"/>
      <c r="E88" s="96"/>
      <c r="F88" s="414"/>
      <c r="G88" s="414"/>
      <c r="H88" s="414"/>
      <c r="I88" s="414"/>
      <c r="J88" s="414"/>
      <c r="K88" s="38"/>
      <c r="L88" s="37"/>
      <c r="M88" s="415"/>
    </row>
    <row r="89" spans="1:13" s="4" customFormat="1" ht="38.25" hidden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364"/>
      <c r="G89" s="364"/>
      <c r="H89" s="364"/>
      <c r="I89" s="364"/>
      <c r="J89" s="364"/>
      <c r="K89" s="57"/>
      <c r="L89" s="43"/>
      <c r="M89" s="78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373"/>
      <c r="G90" s="373"/>
      <c r="H90" s="373"/>
      <c r="I90" s="373"/>
      <c r="J90" s="373"/>
      <c r="K90" s="322"/>
      <c r="L90" s="174"/>
      <c r="M90" s="385"/>
    </row>
    <row r="91" spans="1:13" s="4" customFormat="1" hidden="1" x14ac:dyDescent="0.2">
      <c r="A91" s="689">
        <v>81</v>
      </c>
      <c r="B91" s="35" t="s">
        <v>146</v>
      </c>
      <c r="C91" s="69" t="s">
        <v>147</v>
      </c>
      <c r="D91" s="96"/>
      <c r="E91" s="96"/>
      <c r="F91" s="416"/>
      <c r="G91" s="416"/>
      <c r="H91" s="416"/>
      <c r="I91" s="416"/>
      <c r="J91" s="416"/>
      <c r="K91" s="386"/>
      <c r="L91" s="175"/>
      <c r="M91" s="387"/>
    </row>
    <row r="92" spans="1:13" s="4" customFormat="1" hidden="1" x14ac:dyDescent="0.2">
      <c r="A92" s="689">
        <v>82</v>
      </c>
      <c r="B92" s="55" t="s">
        <v>148</v>
      </c>
      <c r="C92" s="56" t="s">
        <v>149</v>
      </c>
      <c r="D92" s="114"/>
      <c r="E92" s="114"/>
      <c r="F92" s="364">
        <f>F93</f>
        <v>0</v>
      </c>
      <c r="G92" s="364">
        <f>G93</f>
        <v>0</v>
      </c>
      <c r="H92" s="364">
        <f>H93</f>
        <v>0</v>
      </c>
      <c r="I92" s="364">
        <f>I93</f>
        <v>0</v>
      </c>
      <c r="J92" s="364">
        <f>J93</f>
        <v>0</v>
      </c>
      <c r="K92" s="57"/>
      <c r="L92" s="43"/>
      <c r="M92" s="78"/>
    </row>
    <row r="93" spans="1:13" s="4" customFormat="1" hidden="1" x14ac:dyDescent="0.2">
      <c r="A93" s="689">
        <v>83</v>
      </c>
      <c r="B93" s="115" t="s">
        <v>150</v>
      </c>
      <c r="C93" s="56" t="s">
        <v>151</v>
      </c>
      <c r="D93" s="114"/>
      <c r="E93" s="114"/>
      <c r="F93" s="364">
        <f>F94+F107</f>
        <v>0</v>
      </c>
      <c r="G93" s="364">
        <f>G94+G107</f>
        <v>0</v>
      </c>
      <c r="H93" s="364">
        <f>H94+H107</f>
        <v>0</v>
      </c>
      <c r="I93" s="364">
        <f>I94+I107</f>
        <v>0</v>
      </c>
      <c r="J93" s="364">
        <f>J94+J107</f>
        <v>0</v>
      </c>
      <c r="K93" s="57"/>
      <c r="L93" s="43"/>
      <c r="M93" s="78"/>
    </row>
    <row r="94" spans="1:13" s="4" customFormat="1" hidden="1" x14ac:dyDescent="0.2">
      <c r="A94" s="689">
        <v>84</v>
      </c>
      <c r="B94" s="115" t="s">
        <v>152</v>
      </c>
      <c r="C94" s="56" t="s">
        <v>153</v>
      </c>
      <c r="D94" s="114"/>
      <c r="E94" s="114"/>
      <c r="F94" s="364">
        <f>F95+F96+F97+F98+F100+F101</f>
        <v>0</v>
      </c>
      <c r="G94" s="364">
        <f>G95+G96+G97+G98+G100+G101</f>
        <v>0</v>
      </c>
      <c r="H94" s="364">
        <f>H95+H96+H97+H98+H100+H101</f>
        <v>0</v>
      </c>
      <c r="I94" s="364">
        <f>I95+I96+I97+I98+I100+I101</f>
        <v>0</v>
      </c>
      <c r="J94" s="364">
        <f>J95+J96+J97+J98+J100+J101</f>
        <v>0</v>
      </c>
      <c r="K94" s="57"/>
      <c r="L94" s="43"/>
      <c r="M94" s="78"/>
    </row>
    <row r="95" spans="1:13" s="4" customFormat="1" hidden="1" x14ac:dyDescent="0.2">
      <c r="A95" s="689">
        <v>85</v>
      </c>
      <c r="B95" s="116" t="s">
        <v>154</v>
      </c>
      <c r="C95" s="41"/>
      <c r="D95" s="117"/>
      <c r="E95" s="117"/>
      <c r="F95" s="364"/>
      <c r="G95" s="364"/>
      <c r="H95" s="364"/>
      <c r="I95" s="364"/>
      <c r="J95" s="364"/>
      <c r="K95" s="371"/>
      <c r="L95" s="43"/>
      <c r="M95" s="78"/>
    </row>
    <row r="96" spans="1:13" s="4" customFormat="1" hidden="1" x14ac:dyDescent="0.2">
      <c r="A96" s="689">
        <v>86</v>
      </c>
      <c r="B96" s="116" t="s">
        <v>155</v>
      </c>
      <c r="C96" s="41"/>
      <c r="D96" s="117"/>
      <c r="E96" s="117"/>
      <c r="F96" s="364"/>
      <c r="G96" s="364"/>
      <c r="H96" s="364"/>
      <c r="I96" s="364"/>
      <c r="J96" s="364"/>
      <c r="K96" s="371"/>
      <c r="L96" s="43"/>
      <c r="M96" s="78"/>
    </row>
    <row r="97" spans="1:13" s="4" customFormat="1" hidden="1" x14ac:dyDescent="0.2">
      <c r="A97" s="689">
        <v>87</v>
      </c>
      <c r="B97" s="116" t="s">
        <v>156</v>
      </c>
      <c r="C97" s="41"/>
      <c r="D97" s="117"/>
      <c r="E97" s="117"/>
      <c r="F97" s="364"/>
      <c r="G97" s="364"/>
      <c r="H97" s="364"/>
      <c r="I97" s="364"/>
      <c r="J97" s="364"/>
      <c r="K97" s="371"/>
      <c r="L97" s="43"/>
      <c r="M97" s="78"/>
    </row>
    <row r="98" spans="1:13" s="4" customFormat="1" hidden="1" x14ac:dyDescent="0.2">
      <c r="A98" s="689">
        <v>88</v>
      </c>
      <c r="B98" s="119" t="s">
        <v>157</v>
      </c>
      <c r="C98" s="41"/>
      <c r="D98" s="117"/>
      <c r="E98" s="117"/>
      <c r="F98" s="364"/>
      <c r="G98" s="364"/>
      <c r="H98" s="364"/>
      <c r="I98" s="364"/>
      <c r="J98" s="364"/>
      <c r="K98" s="371"/>
      <c r="L98" s="43"/>
      <c r="M98" s="78"/>
    </row>
    <row r="99" spans="1:13" s="4" customFormat="1" hidden="1" x14ac:dyDescent="0.2">
      <c r="A99" s="689">
        <v>89</v>
      </c>
      <c r="B99" s="120" t="s">
        <v>158</v>
      </c>
      <c r="C99" s="41"/>
      <c r="D99" s="117"/>
      <c r="E99" s="117"/>
      <c r="F99" s="364"/>
      <c r="G99" s="364"/>
      <c r="H99" s="364"/>
      <c r="I99" s="364"/>
      <c r="J99" s="364"/>
      <c r="K99" s="371"/>
      <c r="L99" s="43"/>
      <c r="M99" s="78"/>
    </row>
    <row r="100" spans="1:13" s="4" customFormat="1" hidden="1" x14ac:dyDescent="0.2">
      <c r="A100" s="689">
        <v>90</v>
      </c>
      <c r="B100" s="121" t="s">
        <v>159</v>
      </c>
      <c r="C100" s="41"/>
      <c r="D100" s="117"/>
      <c r="E100" s="117"/>
      <c r="F100" s="364"/>
      <c r="G100" s="364"/>
      <c r="H100" s="364"/>
      <c r="I100" s="364"/>
      <c r="J100" s="364"/>
      <c r="K100" s="371"/>
      <c r="L100" s="43"/>
      <c r="M100" s="78"/>
    </row>
    <row r="101" spans="1:13" s="4" customFormat="1" hidden="1" x14ac:dyDescent="0.2">
      <c r="A101" s="689">
        <v>91</v>
      </c>
      <c r="B101" s="122" t="s">
        <v>160</v>
      </c>
      <c r="C101" s="41"/>
      <c r="D101" s="117"/>
      <c r="E101" s="117"/>
      <c r="F101" s="364"/>
      <c r="G101" s="364"/>
      <c r="H101" s="364"/>
      <c r="I101" s="364"/>
      <c r="J101" s="364"/>
      <c r="K101" s="371"/>
      <c r="L101" s="43"/>
      <c r="M101" s="78"/>
    </row>
    <row r="102" spans="1:13" s="4" customFormat="1" hidden="1" x14ac:dyDescent="0.2">
      <c r="A102" s="689">
        <v>92</v>
      </c>
      <c r="B102" s="122" t="s">
        <v>161</v>
      </c>
      <c r="C102" s="41"/>
      <c r="D102" s="117"/>
      <c r="E102" s="117"/>
      <c r="F102" s="364"/>
      <c r="G102" s="364"/>
      <c r="H102" s="364"/>
      <c r="I102" s="364"/>
      <c r="J102" s="364"/>
      <c r="K102" s="57"/>
      <c r="L102" s="43"/>
      <c r="M102" s="78"/>
    </row>
    <row r="103" spans="1:13" s="4" customFormat="1" hidden="1" x14ac:dyDescent="0.2">
      <c r="A103" s="689">
        <v>93</v>
      </c>
      <c r="B103" s="4" t="s">
        <v>162</v>
      </c>
      <c r="C103" s="41"/>
      <c r="D103" s="117"/>
      <c r="E103" s="117"/>
      <c r="F103" s="364"/>
      <c r="G103" s="364"/>
      <c r="H103" s="364"/>
      <c r="I103" s="364"/>
      <c r="J103" s="364"/>
      <c r="K103" s="57"/>
      <c r="L103" s="43"/>
      <c r="M103" s="78"/>
    </row>
    <row r="104" spans="1:13" s="4" customFormat="1" hidden="1" x14ac:dyDescent="0.2">
      <c r="A104" s="689">
        <v>94</v>
      </c>
      <c r="B104" s="122" t="s">
        <v>163</v>
      </c>
      <c r="C104" s="41"/>
      <c r="D104" s="117"/>
      <c r="E104" s="117"/>
      <c r="F104" s="364"/>
      <c r="G104" s="364"/>
      <c r="H104" s="364"/>
      <c r="I104" s="364"/>
      <c r="J104" s="364"/>
      <c r="K104" s="57"/>
      <c r="L104" s="43"/>
      <c r="M104" s="78"/>
    </row>
    <row r="105" spans="1:13" s="4" customFormat="1" hidden="1" x14ac:dyDescent="0.2">
      <c r="A105" s="689">
        <v>95</v>
      </c>
      <c r="B105" s="122" t="s">
        <v>164</v>
      </c>
      <c r="C105" s="41"/>
      <c r="D105" s="117"/>
      <c r="E105" s="117"/>
      <c r="F105" s="364"/>
      <c r="G105" s="364"/>
      <c r="H105" s="364"/>
      <c r="I105" s="364"/>
      <c r="J105" s="364"/>
      <c r="K105" s="57"/>
      <c r="L105" s="43"/>
      <c r="M105" s="78"/>
    </row>
    <row r="106" spans="1:13" s="4" customFormat="1" hidden="1" x14ac:dyDescent="0.2">
      <c r="A106" s="689">
        <v>96</v>
      </c>
      <c r="B106" s="122"/>
      <c r="C106" s="41"/>
      <c r="D106" s="117"/>
      <c r="E106" s="117"/>
      <c r="F106" s="364"/>
      <c r="G106" s="364"/>
      <c r="H106" s="364"/>
      <c r="I106" s="364"/>
      <c r="J106" s="364"/>
      <c r="K106" s="57"/>
      <c r="L106" s="43"/>
      <c r="M106" s="78"/>
    </row>
    <row r="107" spans="1:13" s="4" customFormat="1" hidden="1" x14ac:dyDescent="0.2">
      <c r="A107" s="689">
        <v>97</v>
      </c>
      <c r="B107" s="123" t="s">
        <v>165</v>
      </c>
      <c r="C107" s="56" t="s">
        <v>166</v>
      </c>
      <c r="D107" s="114"/>
      <c r="E107" s="114"/>
      <c r="F107" s="43">
        <f>F108+F109+F110+F111</f>
        <v>0</v>
      </c>
      <c r="G107" s="43">
        <f>G108+G109+G110+G111</f>
        <v>0</v>
      </c>
      <c r="H107" s="43">
        <f>H108+H109+H110+H111</f>
        <v>0</v>
      </c>
      <c r="I107" s="43">
        <f>I108+I109+I110+I111</f>
        <v>0</v>
      </c>
      <c r="J107" s="43">
        <f>J108+J109+J110+J111</f>
        <v>0</v>
      </c>
      <c r="K107" s="57"/>
      <c r="L107" s="43"/>
      <c r="M107" s="78"/>
    </row>
    <row r="108" spans="1:13" s="4" customFormat="1" hidden="1" x14ac:dyDescent="0.2">
      <c r="A108" s="689">
        <v>98</v>
      </c>
      <c r="B108" s="124" t="s">
        <v>167</v>
      </c>
      <c r="C108" s="41"/>
      <c r="D108" s="117"/>
      <c r="E108" s="117"/>
      <c r="F108" s="364"/>
      <c r="G108" s="364"/>
      <c r="H108" s="364"/>
      <c r="I108" s="364"/>
      <c r="J108" s="364"/>
      <c r="K108" s="371"/>
      <c r="L108" s="43"/>
      <c r="M108" s="78"/>
    </row>
    <row r="109" spans="1:13" s="4" customFormat="1" hidden="1" x14ac:dyDescent="0.2">
      <c r="A109" s="689">
        <v>99</v>
      </c>
      <c r="B109" s="125" t="s">
        <v>168</v>
      </c>
      <c r="C109" s="41"/>
      <c r="D109" s="117"/>
      <c r="E109" s="117"/>
      <c r="F109" s="364"/>
      <c r="G109" s="364"/>
      <c r="H109" s="364"/>
      <c r="I109" s="364"/>
      <c r="J109" s="364"/>
      <c r="K109" s="371"/>
      <c r="L109" s="43"/>
      <c r="M109" s="78"/>
    </row>
    <row r="110" spans="1:13" s="4" customFormat="1" hidden="1" x14ac:dyDescent="0.2">
      <c r="A110" s="689">
        <v>100</v>
      </c>
      <c r="B110" s="116" t="s">
        <v>169</v>
      </c>
      <c r="C110" s="41"/>
      <c r="D110" s="117"/>
      <c r="E110" s="117"/>
      <c r="F110" s="364"/>
      <c r="G110" s="364"/>
      <c r="H110" s="364"/>
      <c r="I110" s="364"/>
      <c r="J110" s="364"/>
      <c r="K110" s="371"/>
      <c r="L110" s="43"/>
      <c r="M110" s="78"/>
    </row>
    <row r="111" spans="1:13" s="4" customFormat="1" hidden="1" x14ac:dyDescent="0.2">
      <c r="A111" s="689">
        <v>101</v>
      </c>
      <c r="B111" s="116" t="s">
        <v>170</v>
      </c>
      <c r="C111" s="41"/>
      <c r="D111" s="117"/>
      <c r="E111" s="117"/>
      <c r="F111" s="364"/>
      <c r="G111" s="364"/>
      <c r="H111" s="364"/>
      <c r="I111" s="364"/>
      <c r="J111" s="364"/>
      <c r="K111" s="57"/>
      <c r="L111" s="43"/>
      <c r="M111" s="78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364">
        <f>F117</f>
        <v>0</v>
      </c>
      <c r="G112" s="364">
        <f>G117</f>
        <v>0</v>
      </c>
      <c r="H112" s="364">
        <f>H117</f>
        <v>0</v>
      </c>
      <c r="I112" s="364">
        <f>I117</f>
        <v>0</v>
      </c>
      <c r="J112" s="364">
        <f>J117</f>
        <v>0</v>
      </c>
      <c r="K112" s="57"/>
      <c r="L112" s="43"/>
      <c r="M112" s="78"/>
    </row>
    <row r="113" spans="1:13" s="4" customFormat="1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364"/>
      <c r="G113" s="364"/>
      <c r="H113" s="364"/>
      <c r="I113" s="364"/>
      <c r="J113" s="364"/>
      <c r="K113" s="371"/>
      <c r="L113" s="43"/>
      <c r="M113" s="78"/>
    </row>
    <row r="114" spans="1:13" s="4" customFormat="1" hidden="1" x14ac:dyDescent="0.2">
      <c r="A114" s="689">
        <v>104</v>
      </c>
      <c r="B114" s="73" t="s">
        <v>174</v>
      </c>
      <c r="C114" s="56"/>
      <c r="D114" s="114"/>
      <c r="E114" s="114"/>
      <c r="F114" s="364"/>
      <c r="G114" s="364"/>
      <c r="H114" s="364"/>
      <c r="I114" s="364"/>
      <c r="J114" s="364"/>
      <c r="K114" s="371"/>
      <c r="L114" s="43"/>
      <c r="M114" s="78"/>
    </row>
    <row r="115" spans="1:13" s="4" customFormat="1" hidden="1" x14ac:dyDescent="0.2">
      <c r="A115" s="689">
        <v>105</v>
      </c>
      <c r="B115" s="73" t="s">
        <v>175</v>
      </c>
      <c r="C115" s="56"/>
      <c r="D115" s="114"/>
      <c r="E115" s="114"/>
      <c r="F115" s="364"/>
      <c r="G115" s="364"/>
      <c r="H115" s="364"/>
      <c r="I115" s="364"/>
      <c r="J115" s="364"/>
      <c r="K115" s="371"/>
      <c r="L115" s="43"/>
      <c r="M115" s="78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364"/>
      <c r="G116" s="364"/>
      <c r="H116" s="364"/>
      <c r="I116" s="364"/>
      <c r="J116" s="364"/>
      <c r="K116" s="371"/>
      <c r="L116" s="43"/>
      <c r="M116" s="78"/>
    </row>
    <row r="117" spans="1:13" s="4" customFormat="1" ht="26.25" hidden="1" thickBot="1" x14ac:dyDescent="0.25">
      <c r="A117" s="689">
        <v>107</v>
      </c>
      <c r="B117" s="417" t="s">
        <v>178</v>
      </c>
      <c r="C117" s="128" t="s">
        <v>179</v>
      </c>
      <c r="D117" s="129"/>
      <c r="E117" s="129"/>
      <c r="F117" s="418">
        <f>G117+H117+I117+J117</f>
        <v>0</v>
      </c>
      <c r="G117" s="418">
        <v>0</v>
      </c>
      <c r="H117" s="418">
        <f>2-2</f>
        <v>0</v>
      </c>
      <c r="I117" s="418">
        <v>0</v>
      </c>
      <c r="J117" s="418">
        <v>0</v>
      </c>
      <c r="K117" s="331"/>
      <c r="L117" s="130"/>
      <c r="M117" s="419"/>
    </row>
    <row r="118" spans="1:13" s="135" customFormat="1" hidden="1" x14ac:dyDescent="0.2">
      <c r="A118" s="689">
        <v>108</v>
      </c>
      <c r="B118" s="24" t="s">
        <v>180</v>
      </c>
      <c r="C118" s="25"/>
      <c r="D118" s="134"/>
      <c r="E118" s="134"/>
      <c r="F118" s="414">
        <f>F132</f>
        <v>0</v>
      </c>
      <c r="G118" s="414">
        <f>G132</f>
        <v>0</v>
      </c>
      <c r="H118" s="414">
        <f>H132</f>
        <v>0</v>
      </c>
      <c r="I118" s="414">
        <f>I132</f>
        <v>0</v>
      </c>
      <c r="J118" s="414">
        <f>J132</f>
        <v>0</v>
      </c>
      <c r="K118" s="38"/>
      <c r="L118" s="37"/>
      <c r="M118" s="415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364"/>
      <c r="G119" s="364"/>
      <c r="H119" s="364"/>
      <c r="I119" s="364"/>
      <c r="J119" s="364"/>
      <c r="K119" s="371"/>
      <c r="L119" s="43"/>
      <c r="M119" s="78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364"/>
      <c r="G120" s="364"/>
      <c r="H120" s="364"/>
      <c r="I120" s="364"/>
      <c r="J120" s="364"/>
      <c r="K120" s="371"/>
      <c r="L120" s="43"/>
      <c r="M120" s="78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364"/>
      <c r="G121" s="364"/>
      <c r="H121" s="364"/>
      <c r="I121" s="364"/>
      <c r="J121" s="364"/>
      <c r="K121" s="371"/>
      <c r="L121" s="43"/>
      <c r="M121" s="78"/>
    </row>
    <row r="122" spans="1:13" s="139" customFormat="1" ht="25.5" hidden="1" x14ac:dyDescent="0.2">
      <c r="A122" s="689">
        <v>112</v>
      </c>
      <c r="B122" s="314" t="s">
        <v>187</v>
      </c>
      <c r="C122" s="56" t="s">
        <v>188</v>
      </c>
      <c r="D122" s="189">
        <f>D123+D125</f>
        <v>0</v>
      </c>
      <c r="E122" s="189">
        <f>E123+E125</f>
        <v>0</v>
      </c>
      <c r="F122" s="364"/>
      <c r="G122" s="364"/>
      <c r="H122" s="364"/>
      <c r="I122" s="364"/>
      <c r="J122" s="364"/>
      <c r="K122" s="57"/>
      <c r="L122" s="43"/>
      <c r="M122" s="78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190" t="str">
        <f>D124</f>
        <v>0</v>
      </c>
      <c r="E123" s="190" t="str">
        <f>E124</f>
        <v>0</v>
      </c>
      <c r="F123" s="364"/>
      <c r="G123" s="364"/>
      <c r="H123" s="364"/>
      <c r="I123" s="364"/>
      <c r="J123" s="364"/>
      <c r="K123" s="57"/>
      <c r="L123" s="43"/>
      <c r="M123" s="78"/>
    </row>
    <row r="124" spans="1:13" s="139" customFormat="1" hidden="1" x14ac:dyDescent="0.2">
      <c r="A124" s="689">
        <v>114</v>
      </c>
      <c r="B124" s="138" t="s">
        <v>191</v>
      </c>
      <c r="C124" s="41" t="s">
        <v>272</v>
      </c>
      <c r="D124" s="190" t="s">
        <v>139</v>
      </c>
      <c r="E124" s="190" t="s">
        <v>139</v>
      </c>
      <c r="F124" s="364"/>
      <c r="G124" s="364"/>
      <c r="H124" s="364"/>
      <c r="I124" s="364"/>
      <c r="J124" s="364"/>
      <c r="K124" s="57"/>
      <c r="L124" s="43"/>
      <c r="M124" s="78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190">
        <f>D126+D127</f>
        <v>0</v>
      </c>
      <c r="E125" s="190"/>
      <c r="F125" s="364"/>
      <c r="G125" s="364"/>
      <c r="H125" s="364"/>
      <c r="I125" s="364"/>
      <c r="J125" s="364"/>
      <c r="K125" s="57"/>
      <c r="L125" s="43"/>
      <c r="M125" s="78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190" t="s">
        <v>139</v>
      </c>
      <c r="E126" s="117"/>
      <c r="F126" s="364"/>
      <c r="G126" s="364"/>
      <c r="H126" s="364"/>
      <c r="I126" s="364"/>
      <c r="J126" s="364"/>
      <c r="K126" s="57"/>
      <c r="L126" s="43"/>
      <c r="M126" s="78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190" t="s">
        <v>139</v>
      </c>
      <c r="E127" s="117"/>
      <c r="F127" s="364"/>
      <c r="G127" s="364"/>
      <c r="H127" s="364"/>
      <c r="I127" s="364"/>
      <c r="J127" s="364"/>
      <c r="K127" s="57"/>
      <c r="L127" s="43"/>
      <c r="M127" s="78"/>
    </row>
    <row r="128" spans="1:13" s="139" customFormat="1" hidden="1" x14ac:dyDescent="0.2">
      <c r="A128" s="689">
        <v>118</v>
      </c>
      <c r="B128" s="138" t="s">
        <v>198</v>
      </c>
      <c r="C128" s="56" t="s">
        <v>199</v>
      </c>
      <c r="D128" s="190"/>
      <c r="E128" s="117"/>
      <c r="F128" s="364"/>
      <c r="G128" s="364"/>
      <c r="H128" s="364"/>
      <c r="I128" s="364"/>
      <c r="J128" s="364"/>
      <c r="K128" s="57"/>
      <c r="L128" s="43"/>
      <c r="M128" s="78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190"/>
      <c r="E129" s="117"/>
      <c r="F129" s="364"/>
      <c r="G129" s="364"/>
      <c r="H129" s="364"/>
      <c r="I129" s="364"/>
      <c r="J129" s="364"/>
      <c r="K129" s="57"/>
      <c r="L129" s="43"/>
      <c r="M129" s="78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190"/>
      <c r="E130" s="117"/>
      <c r="F130" s="364"/>
      <c r="G130" s="364"/>
      <c r="H130" s="364"/>
      <c r="I130" s="364"/>
      <c r="J130" s="364"/>
      <c r="K130" s="57"/>
      <c r="L130" s="43"/>
      <c r="M130" s="78"/>
    </row>
    <row r="131" spans="1:15" s="139" customFormat="1" hidden="1" x14ac:dyDescent="0.2">
      <c r="A131" s="689">
        <v>121</v>
      </c>
      <c r="B131" s="138" t="s">
        <v>204</v>
      </c>
      <c r="C131" s="41" t="s">
        <v>205</v>
      </c>
      <c r="D131" s="190"/>
      <c r="E131" s="117"/>
      <c r="F131" s="364"/>
      <c r="G131" s="364"/>
      <c r="H131" s="364"/>
      <c r="I131" s="364"/>
      <c r="J131" s="364"/>
      <c r="K131" s="57"/>
      <c r="L131" s="43"/>
      <c r="M131" s="78"/>
    </row>
    <row r="132" spans="1:15" s="4" customFormat="1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364">
        <f t="shared" ref="F132:J133" si="10">F133</f>
        <v>0</v>
      </c>
      <c r="G132" s="364">
        <f t="shared" si="10"/>
        <v>0</v>
      </c>
      <c r="H132" s="364">
        <f t="shared" si="10"/>
        <v>0</v>
      </c>
      <c r="I132" s="364">
        <f t="shared" si="10"/>
        <v>0</v>
      </c>
      <c r="J132" s="364">
        <f t="shared" si="10"/>
        <v>0</v>
      </c>
      <c r="K132" s="57"/>
      <c r="L132" s="43"/>
      <c r="M132" s="78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364">
        <f t="shared" si="10"/>
        <v>0</v>
      </c>
      <c r="G133" s="364">
        <f t="shared" si="10"/>
        <v>0</v>
      </c>
      <c r="H133" s="364">
        <f t="shared" si="10"/>
        <v>0</v>
      </c>
      <c r="I133" s="364">
        <f t="shared" si="10"/>
        <v>0</v>
      </c>
      <c r="J133" s="364">
        <f t="shared" si="10"/>
        <v>0</v>
      </c>
      <c r="K133" s="57"/>
      <c r="L133" s="43"/>
      <c r="M133" s="78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364">
        <f>F135+F136+F138+F139</f>
        <v>0</v>
      </c>
      <c r="G134" s="364">
        <f>G135+G136+G138+G139</f>
        <v>0</v>
      </c>
      <c r="H134" s="364">
        <f>H135+H136+H138+H139</f>
        <v>0</v>
      </c>
      <c r="I134" s="364">
        <f>I135+I136+I138+I139</f>
        <v>0</v>
      </c>
      <c r="J134" s="364">
        <f>J135+J136+J138+J139</f>
        <v>0</v>
      </c>
      <c r="K134" s="57"/>
      <c r="L134" s="43"/>
      <c r="M134" s="78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364"/>
      <c r="G135" s="364"/>
      <c r="H135" s="364"/>
      <c r="I135" s="364"/>
      <c r="J135" s="364"/>
      <c r="K135" s="371"/>
      <c r="L135" s="43"/>
      <c r="M135" s="78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364"/>
      <c r="G136" s="364"/>
      <c r="H136" s="364"/>
      <c r="I136" s="364"/>
      <c r="J136" s="364"/>
      <c r="K136" s="371"/>
      <c r="L136" s="43"/>
      <c r="M136" s="78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364"/>
      <c r="G137" s="364"/>
      <c r="H137" s="364"/>
      <c r="I137" s="364"/>
      <c r="J137" s="364"/>
      <c r="K137" s="371"/>
      <c r="L137" s="43"/>
      <c r="M137" s="78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364"/>
      <c r="G138" s="364"/>
      <c r="H138" s="364"/>
      <c r="I138" s="364"/>
      <c r="J138" s="364"/>
      <c r="K138" s="371"/>
      <c r="L138" s="43"/>
      <c r="M138" s="78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420"/>
      <c r="G139" s="420"/>
      <c r="H139" s="420"/>
      <c r="I139" s="420"/>
      <c r="J139" s="420"/>
      <c r="K139" s="374"/>
      <c r="L139" s="272"/>
      <c r="M139" s="421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385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56"/>
      <c r="K143" s="1132" t="s">
        <v>388</v>
      </c>
      <c r="L143" s="1132"/>
      <c r="M143" s="1132"/>
      <c r="N143" s="1132"/>
      <c r="O143" s="6"/>
    </row>
    <row r="144" spans="1:15" ht="12.75" customHeight="1" x14ac:dyDescent="0.2">
      <c r="J144" s="305"/>
      <c r="K144" s="152" t="s">
        <v>389</v>
      </c>
      <c r="L144" s="4"/>
      <c r="M144" s="4"/>
      <c r="N144" s="4"/>
    </row>
  </sheetData>
  <sheetProtection selectLockedCells="1" selectUnlockedCells="1"/>
  <mergeCells count="13">
    <mergeCell ref="D9:D10"/>
    <mergeCell ref="E9:E10"/>
    <mergeCell ref="F9:F10"/>
    <mergeCell ref="G9:J9"/>
    <mergeCell ref="K9:M9"/>
    <mergeCell ref="K143:N143"/>
    <mergeCell ref="B5:M5"/>
    <mergeCell ref="B6:M6"/>
    <mergeCell ref="B7:M7"/>
    <mergeCell ref="A8:B8"/>
    <mergeCell ref="A9:A10"/>
    <mergeCell ref="B9:B10"/>
    <mergeCell ref="C9:C10"/>
  </mergeCells>
  <printOptions horizontalCentered="1"/>
  <pageMargins left="0.11805555555555555" right="0.19652777777777777" top="0.35416666666666669" bottom="0.15763888888888888" header="0.51180555555555551" footer="0.51180555555555551"/>
  <pageSetup scale="83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28C-5617-4D65-997A-E5C55C551EE4}">
  <sheetPr>
    <pageSetUpPr fitToPage="1"/>
  </sheetPr>
  <dimension ref="A1:Q144"/>
  <sheetViews>
    <sheetView tabSelected="1" zoomScaleNormal="100" workbookViewId="0">
      <selection activeCell="L4" sqref="L4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7109375" style="1" customWidth="1"/>
    <col min="5" max="5" width="9.7109375" style="1" hidden="1" customWidth="1"/>
    <col min="6" max="6" width="12.7109375" style="1" customWidth="1"/>
    <col min="7" max="7" width="9.28515625" style="1" customWidth="1"/>
    <col min="8" max="8" width="8.42578125" style="1" customWidth="1"/>
    <col min="9" max="9" width="9.28515625" style="1" customWidth="1"/>
    <col min="10" max="10" width="9.5703125" style="1" customWidth="1"/>
    <col min="11" max="11" width="10.140625" style="1" customWidth="1"/>
    <col min="12" max="12" width="10.28515625" style="1" customWidth="1"/>
    <col min="13" max="13" width="9.71093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9" t="s">
        <v>289</v>
      </c>
      <c r="K1" s="1119"/>
      <c r="L1" s="1119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ht="12.75" customHeight="1" x14ac:dyDescent="0.2">
      <c r="B6" s="1119" t="s">
        <v>291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7.45" customHeight="1" thickBot="1" x14ac:dyDescent="0.25">
      <c r="A8" s="279"/>
      <c r="B8" s="279" t="s">
        <v>387</v>
      </c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379</v>
      </c>
      <c r="E9" s="1125"/>
      <c r="F9" s="1127" t="s">
        <v>380</v>
      </c>
      <c r="G9" s="1129" t="s">
        <v>12</v>
      </c>
      <c r="H9" s="1129"/>
      <c r="I9" s="1129"/>
      <c r="J9" s="1129"/>
      <c r="K9" s="1130" t="s">
        <v>13</v>
      </c>
      <c r="L9" s="1130"/>
      <c r="M9" s="1131"/>
    </row>
    <row r="10" spans="1:14" s="4" customFormat="1" ht="48" customHeight="1" thickBot="1" x14ac:dyDescent="0.25">
      <c r="A10" s="1135"/>
      <c r="B10" s="1137"/>
      <c r="C10" s="1124"/>
      <c r="D10" s="1126"/>
      <c r="E10" s="1126"/>
      <c r="F10" s="1128"/>
      <c r="G10" s="967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4" s="4" customFormat="1" ht="27" customHeight="1" thickBot="1" x14ac:dyDescent="0.25">
      <c r="A11" s="673" t="s">
        <v>18</v>
      </c>
      <c r="B11" s="354" t="s">
        <v>19</v>
      </c>
      <c r="C11" s="355"/>
      <c r="D11" s="422">
        <f>'68.04-PERS.VARSTNICE'!D11+'68.02.05 CUMULAT AP+SF.NIC'!D11+'68.06 centralizat'!D11+'68.15.01-AJ SOC'!D11+'68.15.02-CANTINA'!D11+'68.50.50 rest DAS+CPFA'!D11</f>
        <v>7852.6</v>
      </c>
      <c r="E11" s="422">
        <f>'68.04-PERS.VARSTNICE'!E11+'68.02.05 CUMULAT AP+SF.NIC'!E11+'68.06 centralizat'!E11+'68.15.01-AJ SOC'!E11+'68.15.02-CANTINA'!E11+'68.50.50 rest DAS+CPFA'!E11</f>
        <v>0</v>
      </c>
      <c r="F11" s="422">
        <f>'68.04-PERS.VARSTNICE'!F11+'68.02.05 CUMULAT AP+SF.NIC'!F11+'68.06 centralizat'!F11+'68.15.01-AJ SOC'!F11+'68.15.02-CANTINA'!F11+'68.50.50 rest DAS+CPFA'!F11</f>
        <v>125935.25999999998</v>
      </c>
      <c r="G11" s="422">
        <f>'68.04-PERS.VARSTNICE'!G11+'68.02.05 CUMULAT AP+SF.NIC'!G11+'68.06 centralizat'!G11+'68.15.01-AJ SOC'!G11+'68.15.02-CANTINA'!G11+'68.50.50 rest DAS+CPFA'!G11</f>
        <v>38618</v>
      </c>
      <c r="H11" s="422">
        <f>'68.04-PERS.VARSTNICE'!H11+'68.02.05 CUMULAT AP+SF.NIC'!H11+'68.06 centralizat'!H11+'68.15.01-AJ SOC'!H11+'68.15.02-CANTINA'!H11+'68.50.50 rest DAS+CPFA'!H11</f>
        <v>35554.660000000003</v>
      </c>
      <c r="I11" s="422">
        <f>'68.04-PERS.VARSTNICE'!I11+'68.02.05 CUMULAT AP+SF.NIC'!I11+'68.06 centralizat'!I11+'68.15.01-AJ SOC'!I11+'68.15.02-CANTINA'!I11+'68.50.50 rest DAS+CPFA'!I11</f>
        <v>34829.599999999999</v>
      </c>
      <c r="J11" s="422">
        <f>'68.04-PERS.VARSTNICE'!J11+'68.02.05 CUMULAT AP+SF.NIC'!J11+'68.06 centralizat'!J11+'68.15.01-AJ SOC'!J11+'68.15.02-CANTINA'!J11+'68.50.50 rest DAS+CPFA'!J11</f>
        <v>16933</v>
      </c>
      <c r="K11" s="1006">
        <f>'68.04-PERS.VARSTNICE'!K11+'68.02.05.02- AP+IND+RAT'!K11+'68.06 centralizat'!K11+'68.12 CENTRALIZATOR'!K11+'68.15.01-AJ SOC'!K11+'68.15.02-CANTINA'!K11+'68.50.50 rest DAS+CPFA'!K11+1.55</f>
        <v>129253.00154800001</v>
      </c>
      <c r="L11" s="422">
        <f>'68.04-PERS.VARSTNICE'!L11+'68.02.05.02- AP+IND+RAT'!L11+'68.06 centralizat'!L11+'68.12 CENTRALIZATOR'!L11+'68.15.01-AJ SOC'!L11+'68.15.02-CANTINA'!L11+'68.50.50 rest DAS+CPFA'!L11+0.23</f>
        <v>127899.99566999996</v>
      </c>
      <c r="M11" s="1007">
        <f>'68.04-PERS.VARSTNICE'!M11+'68.02.05.02- AP+IND+RAT'!M11+'68.06 centralizat'!M11+'68.12 CENTRALIZATOR'!M11+'68.15.01-AJ SOC'!M11+'68.15.02-CANTINA'!M11+'68.50.50 rest DAS+CPFA'!M11+0.24</f>
        <v>130432.00389000001</v>
      </c>
    </row>
    <row r="12" spans="1:14" s="4" customFormat="1" ht="22.5" customHeight="1" thickBot="1" x14ac:dyDescent="0.25">
      <c r="A12" s="675">
        <v>2</v>
      </c>
      <c r="B12" s="423" t="s">
        <v>20</v>
      </c>
      <c r="C12" s="424"/>
      <c r="D12" s="422">
        <f>'68.04-PERS.VARSTNICE'!D12+'68.02.05 CUMULAT AP+SF.NIC'!D12+'68.06 centralizat'!D12+'68.15.01-AJ SOC'!D12+'68.15.02-CANTINA'!D12+'68.50.50 rest DAS+CPFA'!D12</f>
        <v>0</v>
      </c>
      <c r="E12" s="422">
        <f>'68.04-PERS.VARSTNICE'!E12+'68.02.05 CUMULAT AP+SF.NIC'!E12+'68.06 centralizat'!E12+'68.15.01-AJ SOC'!E12+'68.15.02-CANTINA'!E12+'68.50.50 rest DAS+CPFA'!E12</f>
        <v>0</v>
      </c>
      <c r="F12" s="422">
        <f>'68.04-PERS.VARSTNICE'!F12+'68.02.05 CUMULAT AP+SF.NIC'!F12+'68.06 centralizat'!F12+'68.15.01-AJ SOC'!F12+'68.15.02-CANTINA'!F12+'68.50.50 rest DAS+CPFA'!F12</f>
        <v>121921.65999999999</v>
      </c>
      <c r="G12" s="422">
        <f>'68.04-PERS.VARSTNICE'!G12+'68.02.05 CUMULAT AP+SF.NIC'!G12+'68.06 centralizat'!G12+'68.15.01-AJ SOC'!G12+'68.15.02-CANTINA'!G12+'68.50.50 rest DAS+CPFA'!G12</f>
        <v>35588</v>
      </c>
      <c r="H12" s="422">
        <f>'68.04-PERS.VARSTNICE'!H12+'68.02.05 CUMULAT AP+SF.NIC'!H12+'68.06 centralizat'!H12+'68.15.01-AJ SOC'!H12+'68.15.02-CANTINA'!H12+'68.50.50 rest DAS+CPFA'!H12</f>
        <v>35117.660000000003</v>
      </c>
      <c r="I12" s="422">
        <f>'68.04-PERS.VARSTNICE'!I12+'68.02.05 CUMULAT AP+SF.NIC'!I12+'68.06 centralizat'!I12+'68.15.01-AJ SOC'!I12+'68.15.02-CANTINA'!I12+'68.50.50 rest DAS+CPFA'!I12</f>
        <v>34283</v>
      </c>
      <c r="J12" s="422">
        <f>'68.04-PERS.VARSTNICE'!J12+'68.02.05 CUMULAT AP+SF.NIC'!J12+'68.06 centralizat'!J12+'68.15.01-AJ SOC'!J12+'68.15.02-CANTINA'!J12+'68.50.50 rest DAS+CPFA'!J12</f>
        <v>16933</v>
      </c>
      <c r="K12" s="1006">
        <f>'68.04-PERS.VARSTNICE'!K12+'68.02.05.02- AP+IND+RAT'!K12+'68.06 centralizat'!K12+'68.12 CENTRALIZATOR'!K12+'68.15.01-AJ SOC'!K12+'68.15.02-CANTINA'!K12+'68.50.50 rest DAS+CPFA'!K12+1.55</f>
        <v>125414.00154800001</v>
      </c>
      <c r="L12" s="422">
        <f>'68.04-PERS.VARSTNICE'!L12+'68.02.05.02- AP+IND+RAT'!L12+'68.06 centralizat'!L12+'68.12 CENTRALIZATOR'!L12+'68.15.01-AJ SOC'!L12+'68.15.02-CANTINA'!L12+'68.50.50 rest DAS+CPFA'!L12+0.23</f>
        <v>127899.99566999996</v>
      </c>
      <c r="M12" s="422">
        <f>'68.04-PERS.VARSTNICE'!M12+'68.02.05.02- AP+IND+RAT'!M12+'68.06 centralizat'!M12+'68.12 CENTRALIZATOR'!M12+'68.15.01-AJ SOC'!M12+'68.15.02-CANTINA'!M12+'68.50.50 rest DAS+CPFA'!M12+0.24</f>
        <v>130432.00389000001</v>
      </c>
    </row>
    <row r="13" spans="1:14" s="4" customFormat="1" ht="12.75" customHeight="1" thickBot="1" x14ac:dyDescent="0.25">
      <c r="A13" s="820">
        <v>3</v>
      </c>
      <c r="B13" s="425" t="s">
        <v>21</v>
      </c>
      <c r="C13" s="426" t="s">
        <v>22</v>
      </c>
      <c r="D13" s="422">
        <f>'68.04-PERS.VARSTNICE'!D13+'68.02.05 CUMULAT AP+SF.NIC'!D13+'68.06 centralizat'!D13+'68.15.01-AJ SOC'!D13+'68.15.02-CANTINA'!D13+'68.50.50 rest DAS+CPFA'!D13</f>
        <v>0</v>
      </c>
      <c r="E13" s="422">
        <f>'68.04-PERS.VARSTNICE'!E13+'68.02.05 CUMULAT AP+SF.NIC'!E13+'68.06 centralizat'!E13+'68.15.01-AJ SOC'!E13+'68.15.02-CANTINA'!E13+'68.50.50 rest DAS+CPFA'!E13</f>
        <v>0</v>
      </c>
      <c r="F13" s="422">
        <f>'68.04-PERS.VARSTNICE'!F13+'68.02.05 CUMULAT AP+SF.NIC'!F13+'68.06 centralizat'!F13+'68.15.01-AJ SOC'!F13+'68.15.02-CANTINA'!F13+'68.50.50 rest DAS+CPFA'!F13</f>
        <v>121921.65999999999</v>
      </c>
      <c r="G13" s="422">
        <f>'68.04-PERS.VARSTNICE'!G13+'68.02.05 CUMULAT AP+SF.NIC'!G13+'68.06 centralizat'!G13+'68.15.01-AJ SOC'!G13+'68.15.02-CANTINA'!G13+'68.50.50 rest DAS+CPFA'!G13</f>
        <v>35588</v>
      </c>
      <c r="H13" s="422">
        <f>'68.04-PERS.VARSTNICE'!H13+'68.02.05 CUMULAT AP+SF.NIC'!H13+'68.06 centralizat'!H13+'68.15.01-AJ SOC'!H13+'68.15.02-CANTINA'!H13+'68.50.50 rest DAS+CPFA'!H13</f>
        <v>35117.660000000003</v>
      </c>
      <c r="I13" s="422">
        <f>'68.04-PERS.VARSTNICE'!I13+'68.02.05 CUMULAT AP+SF.NIC'!I13+'68.06 centralizat'!I13+'68.15.01-AJ SOC'!I13+'68.15.02-CANTINA'!I13+'68.50.50 rest DAS+CPFA'!I13</f>
        <v>34283</v>
      </c>
      <c r="J13" s="422">
        <f>'68.04-PERS.VARSTNICE'!J13+'68.02.05 CUMULAT AP+SF.NIC'!J13+'68.06 centralizat'!J13+'68.15.01-AJ SOC'!J13+'68.15.02-CANTINA'!J13+'68.50.50 rest DAS+CPFA'!J13</f>
        <v>16933</v>
      </c>
      <c r="K13" s="1008">
        <f>'68.04-PERS.VARSTNICE'!K13+'68.02.05.02- AP+IND+RAT'!K13+'68.06 centralizat'!K13+'68.12 CENTRALIZATOR'!K13+'68.15.01-AJ SOC'!K13+'68.15.02-CANTINA'!K13+'68.50.50 rest DAS+CPFA'!K13+1.55</f>
        <v>125414.00154800001</v>
      </c>
      <c r="L13" s="356">
        <f>'68.04-PERS.VARSTNICE'!L13+'68.02.05.02- AP+IND+RAT'!L13+'68.06 centralizat'!L13+'68.12 CENTRALIZATOR'!L13+'68.15.01-AJ SOC'!L13+'68.15.02-CANTINA'!L13+'68.50.50 rest DAS+CPFA'!L13+0.23</f>
        <v>127899.99566999996</v>
      </c>
      <c r="M13" s="1009">
        <f>'68.04-PERS.VARSTNICE'!M13+'68.02.05.02- AP+IND+RAT'!M13+'68.06 centralizat'!M13+'68.12 CENTRALIZATOR'!M13+'68.15.01-AJ SOC'!M13+'68.15.02-CANTINA'!M13+'68.50.50 rest DAS+CPFA'!M13+0.24</f>
        <v>130432.00389000001</v>
      </c>
    </row>
    <row r="14" spans="1:14" s="4" customFormat="1" ht="12.75" customHeight="1" thickBot="1" x14ac:dyDescent="0.25">
      <c r="A14" s="689">
        <v>4</v>
      </c>
      <c r="B14" s="160" t="s">
        <v>23</v>
      </c>
      <c r="C14" s="161" t="s">
        <v>24</v>
      </c>
      <c r="D14" s="422">
        <f>'68.04-PERS.VARSTNICE'!D14+'68.02.05 CUMULAT AP+SF.NIC'!D14+'68.06 centralizat'!D14+'68.15.01-AJ SOC'!D14+'68.15.02-CANTINA'!D14+'68.50.50 rest DAS+CPFA'!D14</f>
        <v>0</v>
      </c>
      <c r="E14" s="422">
        <f>'68.04-PERS.VARSTNICE'!E14+'68.02.05 CUMULAT AP+SF.NIC'!E14+'68.06 centralizat'!E14+'68.15.01-AJ SOC'!E14+'68.15.02-CANTINA'!E14+'68.50.50 rest DAS+CPFA'!E14</f>
        <v>0</v>
      </c>
      <c r="F14" s="422">
        <f>'68.04-PERS.VARSTNICE'!F14+'68.02.05 CUMULAT AP+SF.NIC'!F14+'68.06 centralizat'!F14+'68.15.01-AJ SOC'!F14+'68.15.02-CANTINA'!F14+'68.50.50 rest DAS+CPFA'!F14</f>
        <v>50527</v>
      </c>
      <c r="G14" s="422">
        <f>'68.04-PERS.VARSTNICE'!G14+'68.02.05 CUMULAT AP+SF.NIC'!G14+'68.06 centralizat'!G14+'68.15.01-AJ SOC'!G14+'68.15.02-CANTINA'!G14+'68.50.50 rest DAS+CPFA'!G14</f>
        <v>12576</v>
      </c>
      <c r="H14" s="422">
        <f>'68.04-PERS.VARSTNICE'!H14+'68.02.05 CUMULAT AP+SF.NIC'!H14+'68.06 centralizat'!H14+'68.15.01-AJ SOC'!H14+'68.15.02-CANTINA'!H14+'68.50.50 rest DAS+CPFA'!H14</f>
        <v>13149</v>
      </c>
      <c r="I14" s="422">
        <f>'68.04-PERS.VARSTNICE'!I14+'68.02.05 CUMULAT AP+SF.NIC'!I14+'68.06 centralizat'!I14+'68.15.01-AJ SOC'!I14+'68.15.02-CANTINA'!I14+'68.50.50 rest DAS+CPFA'!I14</f>
        <v>12544</v>
      </c>
      <c r="J14" s="422">
        <f>'68.04-PERS.VARSTNICE'!J14+'68.02.05 CUMULAT AP+SF.NIC'!J14+'68.06 centralizat'!J14+'68.15.01-AJ SOC'!J14+'68.15.02-CANTINA'!J14+'68.50.50 rest DAS+CPFA'!J14</f>
        <v>12258</v>
      </c>
      <c r="K14" s="427">
        <f>'68.04-PERS.VARSTNICE'!K14+'68.02.05 CUMULAT AP+SF.NIC'!K14+'68.06 centralizat'!K14+'68.12 CENTRALIZATOR'!K14+'68.15.01-AJ SOC'!K14+'68.15.02-CANTINA'!K14+'68.50.50 rest DAS+CPFA'!K14</f>
        <v>52247.110900000007</v>
      </c>
      <c r="L14" s="427">
        <f>'68.04-PERS.VARSTNICE'!L14+'68.02.05 CUMULAT AP+SF.NIC'!L14+'68.06 centralizat'!L14+'68.12 CENTRALIZATOR'!L14+'68.15.01-AJ SOC'!L14+'68.15.02-CANTINA'!L14+'68.50.50 rest DAS+CPFA'!L14</f>
        <v>53039.388099999996</v>
      </c>
      <c r="M14" s="1106">
        <f>'68.04-PERS.VARSTNICE'!M14+'68.02.05 CUMULAT AP+SF.NIC'!M14+'68.06 centralizat'!M14+'68.12 CENTRALIZATOR'!M14+'68.15.01-AJ SOC'!M14+'68.15.02-CANTINA'!M14+'68.50.50 rest DAS+CPFA'!M14+1</f>
        <v>53828.301300000006</v>
      </c>
      <c r="N14" s="366"/>
    </row>
    <row r="15" spans="1:14" s="4" customFormat="1" ht="12.75" customHeight="1" thickBot="1" x14ac:dyDescent="0.25">
      <c r="A15" s="820">
        <v>5</v>
      </c>
      <c r="B15" s="55" t="s">
        <v>25</v>
      </c>
      <c r="C15" s="161" t="s">
        <v>26</v>
      </c>
      <c r="D15" s="422">
        <f>'68.04-PERS.VARSTNICE'!D15+'68.02.05 CUMULAT AP+SF.NIC'!D15+'68.06 centralizat'!D15+'68.15.01-AJ SOC'!D15+'68.15.02-CANTINA'!D15+'68.50.50 rest DAS+CPFA'!D15</f>
        <v>0</v>
      </c>
      <c r="E15" s="422">
        <f>'68.04-PERS.VARSTNICE'!E15+'68.02.05 CUMULAT AP+SF.NIC'!E15+'68.06 centralizat'!E15+'68.15.01-AJ SOC'!E15+'68.15.02-CANTINA'!E15+'68.50.50 rest DAS+CPFA'!E15</f>
        <v>0</v>
      </c>
      <c r="F15" s="422">
        <f>'68.04-PERS.VARSTNICE'!F15+'68.02.05 CUMULAT AP+SF.NIC'!F15+'68.06 centralizat'!F15+'68.15.01-AJ SOC'!F15+'68.15.02-CANTINA'!F15+'68.50.50 rest DAS+CPFA'!F15</f>
        <v>48887</v>
      </c>
      <c r="G15" s="422">
        <f>'68.04-PERS.VARSTNICE'!G15+'68.02.05 CUMULAT AP+SF.NIC'!G15+'68.06 centralizat'!G15+'68.15.01-AJ SOC'!G15+'68.15.02-CANTINA'!G15+'68.50.50 rest DAS+CPFA'!G15</f>
        <v>12312</v>
      </c>
      <c r="H15" s="422">
        <f>'68.04-PERS.VARSTNICE'!H15+'68.02.05 CUMULAT AP+SF.NIC'!H15+'68.06 centralizat'!H15+'68.15.01-AJ SOC'!H15+'68.15.02-CANTINA'!H15+'68.50.50 rest DAS+CPFA'!H15</f>
        <v>12362</v>
      </c>
      <c r="I15" s="422">
        <f>'68.04-PERS.VARSTNICE'!I15+'68.02.05 CUMULAT AP+SF.NIC'!I15+'68.06 centralizat'!I15+'68.15.01-AJ SOC'!I15+'68.15.02-CANTINA'!I15+'68.50.50 rest DAS+CPFA'!I15</f>
        <v>12247</v>
      </c>
      <c r="J15" s="422">
        <f>'68.04-PERS.VARSTNICE'!J15+'68.02.05 CUMULAT AP+SF.NIC'!J15+'68.06 centralizat'!J15+'68.15.01-AJ SOC'!J15+'68.15.02-CANTINA'!J15+'68.50.50 rest DAS+CPFA'!J15</f>
        <v>11966</v>
      </c>
      <c r="K15" s="104"/>
      <c r="L15" s="103"/>
      <c r="M15" s="781"/>
    </row>
    <row r="16" spans="1:14" s="4" customFormat="1" ht="12.75" customHeight="1" thickBot="1" x14ac:dyDescent="0.25">
      <c r="A16" s="689">
        <v>6</v>
      </c>
      <c r="B16" s="40" t="s">
        <v>27</v>
      </c>
      <c r="C16" s="41" t="s">
        <v>28</v>
      </c>
      <c r="D16" s="422">
        <f>'68.04-PERS.VARSTNICE'!D16+'68.02.05 CUMULAT AP+SF.NIC'!D16+'68.06 centralizat'!D16+'68.15.01-AJ SOC'!D16+'68.15.02-CANTINA'!D16+'68.50.50 rest DAS+CPFA'!D16</f>
        <v>0</v>
      </c>
      <c r="E16" s="422">
        <f>'68.04-PERS.VARSTNICE'!E16+'68.02.05 CUMULAT AP+SF.NIC'!E16+'68.06 centralizat'!E16+'68.15.01-AJ SOC'!E16+'68.15.02-CANTINA'!E16+'68.50.50 rest DAS+CPFA'!E16</f>
        <v>0</v>
      </c>
      <c r="F16" s="422">
        <f>'68.04-PERS.VARSTNICE'!F16+'68.02.05 CUMULAT AP+SF.NIC'!F16+'68.06 centralizat'!F16+'68.15.01-AJ SOC'!F16+'68.15.02-CANTINA'!F16+'68.50.50 rest DAS+CPFA'!F16</f>
        <v>43781</v>
      </c>
      <c r="G16" s="422">
        <f>'68.04-PERS.VARSTNICE'!G16+'68.02.05 CUMULAT AP+SF.NIC'!G16+'68.06 centralizat'!G16+'68.15.01-AJ SOC'!G16+'68.15.02-CANTINA'!G16+'68.50.50 rest DAS+CPFA'!G16</f>
        <v>10860</v>
      </c>
      <c r="H16" s="422">
        <f>'68.04-PERS.VARSTNICE'!H16+'68.02.05 CUMULAT AP+SF.NIC'!H16+'68.06 centralizat'!H16+'68.15.01-AJ SOC'!H16+'68.15.02-CANTINA'!H16+'68.50.50 rest DAS+CPFA'!H16</f>
        <v>10819</v>
      </c>
      <c r="I16" s="422">
        <f>'68.04-PERS.VARSTNICE'!I16+'68.02.05 CUMULAT AP+SF.NIC'!I16+'68.06 centralizat'!I16+'68.15.01-AJ SOC'!I16+'68.15.02-CANTINA'!I16+'68.50.50 rest DAS+CPFA'!I16</f>
        <v>11011</v>
      </c>
      <c r="J16" s="422">
        <f>'68.04-PERS.VARSTNICE'!J16+'68.02.05 CUMULAT AP+SF.NIC'!J16+'68.06 centralizat'!J16+'68.15.01-AJ SOC'!J16+'68.15.02-CANTINA'!J16+'68.50.50 rest DAS+CPFA'!J16</f>
        <v>11091</v>
      </c>
      <c r="K16" s="250"/>
      <c r="L16" s="91"/>
      <c r="M16" s="780"/>
    </row>
    <row r="17" spans="1:16" s="4" customFormat="1" ht="12.75" customHeight="1" thickBot="1" x14ac:dyDescent="0.25">
      <c r="A17" s="820">
        <v>7</v>
      </c>
      <c r="B17" s="40" t="s">
        <v>29</v>
      </c>
      <c r="C17" s="41" t="s">
        <v>30</v>
      </c>
      <c r="D17" s="422">
        <f>'68.04-PERS.VARSTNICE'!D17+'68.02.05 CUMULAT AP+SF.NIC'!D17+'68.06 centralizat'!D17+'68.15.01-AJ SOC'!D17+'68.15.02-CANTINA'!D17+'68.50.50 rest DAS+CPFA'!D17</f>
        <v>0</v>
      </c>
      <c r="E17" s="422">
        <f>'68.04-PERS.VARSTNICE'!E17+'68.02.05 CUMULAT AP+SF.NIC'!E17+'68.06 centralizat'!E17+'68.15.01-AJ SOC'!E17+'68.15.02-CANTINA'!E17+'68.50.50 rest DAS+CPFA'!E17</f>
        <v>0</v>
      </c>
      <c r="F17" s="422">
        <f>'68.04-PERS.VARSTNICE'!F17+'68.02.05 CUMULAT AP+SF.NIC'!F17+'68.06 centralizat'!F17+'68.15.01-AJ SOC'!F17+'68.15.02-CANTINA'!F17+'68.50.50 rest DAS+CPFA'!F17</f>
        <v>2430</v>
      </c>
      <c r="G17" s="422">
        <f>'68.04-PERS.VARSTNICE'!G17+'68.02.05 CUMULAT AP+SF.NIC'!G17+'68.06 centralizat'!G17+'68.15.01-AJ SOC'!G17+'68.15.02-CANTINA'!G17+'68.50.50 rest DAS+CPFA'!G17</f>
        <v>769</v>
      </c>
      <c r="H17" s="422">
        <f>'68.04-PERS.VARSTNICE'!H17+'68.02.05 CUMULAT AP+SF.NIC'!H17+'68.06 centralizat'!H17+'68.15.01-AJ SOC'!H17+'68.15.02-CANTINA'!H17+'68.50.50 rest DAS+CPFA'!H17</f>
        <v>840</v>
      </c>
      <c r="I17" s="422">
        <f>'68.04-PERS.VARSTNICE'!I17+'68.02.05 CUMULAT AP+SF.NIC'!I17+'68.06 centralizat'!I17+'68.15.01-AJ SOC'!I17+'68.15.02-CANTINA'!I17+'68.50.50 rest DAS+CPFA'!I17</f>
        <v>522</v>
      </c>
      <c r="J17" s="422">
        <f>'68.04-PERS.VARSTNICE'!J17+'68.02.05 CUMULAT AP+SF.NIC'!J17+'68.06 centralizat'!J17+'68.15.01-AJ SOC'!J17+'68.15.02-CANTINA'!J17+'68.50.50 rest DAS+CPFA'!J17</f>
        <v>299</v>
      </c>
      <c r="K17" s="250"/>
      <c r="L17" s="91"/>
      <c r="M17" s="780"/>
      <c r="P17" s="48"/>
    </row>
    <row r="18" spans="1:16" s="4" customFormat="1" ht="12.75" customHeight="1" thickBot="1" x14ac:dyDescent="0.25">
      <c r="A18" s="689">
        <v>8</v>
      </c>
      <c r="B18" s="40" t="s">
        <v>31</v>
      </c>
      <c r="C18" s="41" t="s">
        <v>32</v>
      </c>
      <c r="D18" s="422">
        <f>'68.04-PERS.VARSTNICE'!D18+'68.02.05 CUMULAT AP+SF.NIC'!D18+'68.06 centralizat'!D18+'68.15.01-AJ SOC'!D18+'68.15.02-CANTINA'!D18+'68.50.50 rest DAS+CPFA'!D18</f>
        <v>0</v>
      </c>
      <c r="E18" s="422">
        <f>'68.04-PERS.VARSTNICE'!E18+'68.02.05 CUMULAT AP+SF.NIC'!E18+'68.06 centralizat'!E18+'68.15.01-AJ SOC'!E18+'68.15.02-CANTINA'!E18+'68.50.50 rest DAS+CPFA'!E18</f>
        <v>0</v>
      </c>
      <c r="F18" s="422">
        <f>'68.04-PERS.VARSTNICE'!F18+'68.02.05 CUMULAT AP+SF.NIC'!F18+'68.06 centralizat'!F18+'68.15.01-AJ SOC'!F18+'68.15.02-CANTINA'!F18+'68.50.50 rest DAS+CPFA'!F18</f>
        <v>106</v>
      </c>
      <c r="G18" s="422">
        <f>'68.04-PERS.VARSTNICE'!G18+'68.02.05 CUMULAT AP+SF.NIC'!G18+'68.06 centralizat'!G18+'68.15.01-AJ SOC'!G18+'68.15.02-CANTINA'!G18+'68.50.50 rest DAS+CPFA'!G18</f>
        <v>27</v>
      </c>
      <c r="H18" s="422">
        <f>'68.04-PERS.VARSTNICE'!H18+'68.02.05 CUMULAT AP+SF.NIC'!H18+'68.06 centralizat'!H18+'68.15.01-AJ SOC'!H18+'68.15.02-CANTINA'!H18+'68.50.50 rest DAS+CPFA'!H18</f>
        <v>26</v>
      </c>
      <c r="I18" s="422">
        <f>'68.04-PERS.VARSTNICE'!I18+'68.02.05 CUMULAT AP+SF.NIC'!I18+'68.06 centralizat'!I18+'68.15.01-AJ SOC'!I18+'68.15.02-CANTINA'!I18+'68.50.50 rest DAS+CPFA'!I18</f>
        <v>27</v>
      </c>
      <c r="J18" s="422">
        <f>'68.04-PERS.VARSTNICE'!J18+'68.02.05 CUMULAT AP+SF.NIC'!J18+'68.06 centralizat'!J18+'68.15.01-AJ SOC'!J18+'68.15.02-CANTINA'!J18+'68.50.50 rest DAS+CPFA'!J18</f>
        <v>26</v>
      </c>
      <c r="K18" s="250"/>
      <c r="L18" s="91"/>
      <c r="M18" s="780"/>
      <c r="P18" s="48"/>
    </row>
    <row r="19" spans="1:16" s="4" customFormat="1" ht="13.15" hidden="1" customHeight="1" thickBot="1" x14ac:dyDescent="0.25">
      <c r="A19" s="820">
        <v>9</v>
      </c>
      <c r="B19" s="320" t="s">
        <v>33</v>
      </c>
      <c r="C19" s="7" t="s">
        <v>34</v>
      </c>
      <c r="D19" s="422">
        <f>'68.04-PERS.VARSTNICE'!D19+'68.02.05 CUMULAT AP+SF.NIC'!D19+'68.06 centralizat'!D19+'68.15.01-AJ SOC'!D19+'68.15.02-CANTINA'!D19+'68.50.50 rest DAS+CPFA'!D19</f>
        <v>0</v>
      </c>
      <c r="E19" s="422">
        <f>'68.04-PERS.VARSTNICE'!E19+'68.02.05 CUMULAT AP+SF.NIC'!E19+'68.06 centralizat'!E19+'68.15.01-AJ SOC'!E19+'68.15.02-CANTINA'!E19+'68.50.50 rest DAS+CPFA'!E19</f>
        <v>0</v>
      </c>
      <c r="F19" s="422">
        <f>'68.04-PERS.VARSTNICE'!F19+'68.02.05 CUMULAT AP+SF.NIC'!F19+'68.06 centralizat'!F19+'68.15.01-AJ SOC'!F19+'68.15.02-CANTINA'!F19+'68.50.50 rest DAS+CPFA'!F19</f>
        <v>0</v>
      </c>
      <c r="G19" s="422">
        <f>'68.04-PERS.VARSTNICE'!G19+'68.02.05 CUMULAT AP+SF.NIC'!G19+'68.06 centralizat'!G19+'68.15.01-AJ SOC'!G19+'68.15.02-CANTINA'!G19+'68.50.50 rest DAS+CPFA'!G19</f>
        <v>0</v>
      </c>
      <c r="H19" s="422">
        <f>'68.04-PERS.VARSTNICE'!H19+'68.02.05 CUMULAT AP+SF.NIC'!H19+'68.06 centralizat'!H19+'68.15.01-AJ SOC'!H19+'68.15.02-CANTINA'!H19+'68.50.50 rest DAS+CPFA'!H19</f>
        <v>0</v>
      </c>
      <c r="I19" s="422">
        <f>'68.04-PERS.VARSTNICE'!I19+'68.02.05 CUMULAT AP+SF.NIC'!I19+'68.06 centralizat'!I19+'68.15.01-AJ SOC'!I19+'68.15.02-CANTINA'!I19+'68.50.50 rest DAS+CPFA'!I19</f>
        <v>0</v>
      </c>
      <c r="J19" s="422">
        <f>'68.04-PERS.VARSTNICE'!J19+'68.02.05 CUMULAT AP+SF.NIC'!J19+'68.06 centralizat'!J19+'68.15.01-AJ SOC'!J19+'68.15.02-CANTINA'!J19+'68.50.50 rest DAS+CPFA'!J19</f>
        <v>0</v>
      </c>
      <c r="K19" s="250"/>
      <c r="L19" s="91"/>
      <c r="M19" s="780"/>
      <c r="P19" s="48"/>
    </row>
    <row r="20" spans="1:16" s="4" customFormat="1" ht="13.15" customHeight="1" thickBot="1" x14ac:dyDescent="0.25">
      <c r="A20" s="689">
        <v>10</v>
      </c>
      <c r="B20" s="40" t="s">
        <v>333</v>
      </c>
      <c r="C20" s="41" t="s">
        <v>334</v>
      </c>
      <c r="D20" s="422">
        <f>'68.04-PERS.VARSTNICE'!D20+'68.02.05 CUMULAT AP+SF.NIC'!D20+'68.06 centralizat'!D20+'68.15.01-AJ SOC'!D20+'68.15.02-CANTINA'!D20+'68.50.50 rest DAS+CPFA'!D20</f>
        <v>0</v>
      </c>
      <c r="E20" s="422">
        <f>'68.04-PERS.VARSTNICE'!E20+'68.02.05 CUMULAT AP+SF.NIC'!E20+'68.06 centralizat'!E20+'68.15.01-AJ SOC'!E20+'68.15.02-CANTINA'!E20+'68.50.50 rest DAS+CPFA'!E20</f>
        <v>0</v>
      </c>
      <c r="F20" s="422">
        <f>'68.04-PERS.VARSTNICE'!F20+'68.02.05 CUMULAT AP+SF.NIC'!F20+'68.06 centralizat'!F20+'68.15.01-AJ SOC'!F20+'68.15.02-CANTINA'!F20+'68.50.50 rest DAS+CPFA'!F20</f>
        <v>8</v>
      </c>
      <c r="G20" s="422">
        <f>'68.04-PERS.VARSTNICE'!G20+'68.02.05 CUMULAT AP+SF.NIC'!G20+'68.06 centralizat'!G20+'68.15.01-AJ SOC'!G20+'68.15.02-CANTINA'!G20+'68.50.50 rest DAS+CPFA'!G20</f>
        <v>2</v>
      </c>
      <c r="H20" s="422">
        <f>'68.04-PERS.VARSTNICE'!H20+'68.02.05 CUMULAT AP+SF.NIC'!H20+'68.06 centralizat'!H20+'68.15.01-AJ SOC'!H20+'68.15.02-CANTINA'!H20+'68.50.50 rest DAS+CPFA'!H20</f>
        <v>2</v>
      </c>
      <c r="I20" s="422">
        <f>'68.04-PERS.VARSTNICE'!I20+'68.02.05 CUMULAT AP+SF.NIC'!I20+'68.06 centralizat'!I20+'68.15.01-AJ SOC'!I20+'68.15.02-CANTINA'!I20+'68.50.50 rest DAS+CPFA'!I20</f>
        <v>2</v>
      </c>
      <c r="J20" s="422">
        <f>'68.04-PERS.VARSTNICE'!J20+'68.02.05 CUMULAT AP+SF.NIC'!J20+'68.06 centralizat'!J20+'68.15.01-AJ SOC'!J20+'68.15.02-CANTINA'!J20+'68.50.50 rest DAS+CPFA'!J20</f>
        <v>2</v>
      </c>
      <c r="K20" s="250"/>
      <c r="L20" s="91"/>
      <c r="M20" s="780"/>
      <c r="P20" s="48"/>
    </row>
    <row r="21" spans="1:16" s="4" customFormat="1" ht="12.75" customHeight="1" thickBot="1" x14ac:dyDescent="0.25">
      <c r="A21" s="820">
        <v>11</v>
      </c>
      <c r="B21" s="40" t="s">
        <v>37</v>
      </c>
      <c r="C21" s="41" t="s">
        <v>38</v>
      </c>
      <c r="D21" s="422">
        <f>'68.04-PERS.VARSTNICE'!D21+'68.02.05 CUMULAT AP+SF.NIC'!D21+'68.06 centralizat'!D21+'68.15.01-AJ SOC'!D21+'68.15.02-CANTINA'!D21+'68.50.50 rest DAS+CPFA'!D21</f>
        <v>0</v>
      </c>
      <c r="E21" s="422">
        <f>'68.04-PERS.VARSTNICE'!E21+'68.02.05 CUMULAT AP+SF.NIC'!E21+'68.06 centralizat'!E21+'68.15.01-AJ SOC'!E21+'68.15.02-CANTINA'!E21+'68.50.50 rest DAS+CPFA'!E21</f>
        <v>0</v>
      </c>
      <c r="F21" s="422">
        <f>'68.04-PERS.VARSTNICE'!F21+'68.02.05 CUMULAT AP+SF.NIC'!F21+'68.06 centralizat'!F21+'68.15.01-AJ SOC'!F21+'68.15.02-CANTINA'!F21+'68.50.50 rest DAS+CPFA'!F21</f>
        <v>2503</v>
      </c>
      <c r="G21" s="422">
        <f>'68.04-PERS.VARSTNICE'!G21+'68.02.05 CUMULAT AP+SF.NIC'!G21+'68.06 centralizat'!G21+'68.15.01-AJ SOC'!G21+'68.15.02-CANTINA'!G21+'68.50.50 rest DAS+CPFA'!G21</f>
        <v>639</v>
      </c>
      <c r="H21" s="422">
        <f>'68.04-PERS.VARSTNICE'!H21+'68.02.05 CUMULAT AP+SF.NIC'!H21+'68.06 centralizat'!H21+'68.15.01-AJ SOC'!H21+'68.15.02-CANTINA'!H21+'68.50.50 rest DAS+CPFA'!H21</f>
        <v>659</v>
      </c>
      <c r="I21" s="422">
        <f>'68.04-PERS.VARSTNICE'!I21+'68.02.05 CUMULAT AP+SF.NIC'!I21+'68.06 centralizat'!I21+'68.15.01-AJ SOC'!I21+'68.15.02-CANTINA'!I21+'68.50.50 rest DAS+CPFA'!I21</f>
        <v>671</v>
      </c>
      <c r="J21" s="422">
        <f>'68.04-PERS.VARSTNICE'!J21+'68.02.05 CUMULAT AP+SF.NIC'!J21+'68.06 centralizat'!J21+'68.15.01-AJ SOC'!J21+'68.15.02-CANTINA'!J21+'68.50.50 rest DAS+CPFA'!J21</f>
        <v>534</v>
      </c>
      <c r="K21" s="250"/>
      <c r="L21" s="91"/>
      <c r="M21" s="780"/>
      <c r="P21" s="48"/>
    </row>
    <row r="22" spans="1:16" s="4" customFormat="1" ht="12.75" customHeight="1" thickBot="1" x14ac:dyDescent="0.25">
      <c r="A22" s="689">
        <v>12</v>
      </c>
      <c r="B22" s="40" t="s">
        <v>39</v>
      </c>
      <c r="C22" s="41" t="s">
        <v>40</v>
      </c>
      <c r="D22" s="422">
        <f>'68.04-PERS.VARSTNICE'!D22+'68.02.05 CUMULAT AP+SF.NIC'!D22+'68.06 centralizat'!D22+'68.15.01-AJ SOC'!D22+'68.15.02-CANTINA'!D22+'68.50.50 rest DAS+CPFA'!D22</f>
        <v>0</v>
      </c>
      <c r="E22" s="422">
        <f>'68.04-PERS.VARSTNICE'!E22+'68.02.05 CUMULAT AP+SF.NIC'!E22+'68.06 centralizat'!E22+'68.15.01-AJ SOC'!E22+'68.15.02-CANTINA'!E22+'68.50.50 rest DAS+CPFA'!E22</f>
        <v>0</v>
      </c>
      <c r="F22" s="422">
        <f>'68.04-PERS.VARSTNICE'!F22+'68.02.05 CUMULAT AP+SF.NIC'!F22+'68.06 centralizat'!F22+'68.15.01-AJ SOC'!F22+'68.15.02-CANTINA'!F22+'68.50.50 rest DAS+CPFA'!F22</f>
        <v>59</v>
      </c>
      <c r="G22" s="422">
        <f>'68.04-PERS.VARSTNICE'!G22+'68.02.05 CUMULAT AP+SF.NIC'!G22+'68.06 centralizat'!G22+'68.15.01-AJ SOC'!G22+'68.15.02-CANTINA'!G22+'68.50.50 rest DAS+CPFA'!G22</f>
        <v>15</v>
      </c>
      <c r="H22" s="422">
        <f>'68.04-PERS.VARSTNICE'!H22+'68.02.05 CUMULAT AP+SF.NIC'!H22+'68.06 centralizat'!H22+'68.15.01-AJ SOC'!H22+'68.15.02-CANTINA'!H22+'68.50.50 rest DAS+CPFA'!H22</f>
        <v>16</v>
      </c>
      <c r="I22" s="422">
        <f>'68.04-PERS.VARSTNICE'!I22+'68.02.05 CUMULAT AP+SF.NIC'!I22+'68.06 centralizat'!I22+'68.15.01-AJ SOC'!I22+'68.15.02-CANTINA'!I22+'68.50.50 rest DAS+CPFA'!I22</f>
        <v>14</v>
      </c>
      <c r="J22" s="422">
        <f>'68.04-PERS.VARSTNICE'!J22+'68.02.05 CUMULAT AP+SF.NIC'!J22+'68.06 centralizat'!J22+'68.15.01-AJ SOC'!J22+'68.15.02-CANTINA'!J22+'68.50.50 rest DAS+CPFA'!J22</f>
        <v>14</v>
      </c>
      <c r="K22" s="250"/>
      <c r="L22" s="91"/>
      <c r="M22" s="780"/>
      <c r="P22" s="48"/>
    </row>
    <row r="23" spans="1:16" s="4" customFormat="1" ht="12.75" customHeight="1" thickBot="1" x14ac:dyDescent="0.25">
      <c r="A23" s="820">
        <v>13</v>
      </c>
      <c r="B23" s="40" t="s">
        <v>41</v>
      </c>
      <c r="C23" s="52" t="s">
        <v>42</v>
      </c>
      <c r="D23" s="422">
        <f>'68.04-PERS.VARSTNICE'!D23+'68.02.05 CUMULAT AP+SF.NIC'!D23+'68.06 centralizat'!D23+'68.15.01-AJ SOC'!D23+'68.15.02-CANTINA'!D23+'68.50.50 rest DAS+CPFA'!D23</f>
        <v>0</v>
      </c>
      <c r="E23" s="422">
        <f>'68.04-PERS.VARSTNICE'!E23+'68.02.05 CUMULAT AP+SF.NIC'!E23+'68.06 centralizat'!E23+'68.15.01-AJ SOC'!E23+'68.15.02-CANTINA'!E23+'68.50.50 rest DAS+CPFA'!E23</f>
        <v>0</v>
      </c>
      <c r="F23" s="422">
        <f>'68.04-PERS.VARSTNICE'!F23+'68.02.05 CUMULAT AP+SF.NIC'!F23+'68.06 centralizat'!F23+'68.15.01-AJ SOC'!F23+'68.15.02-CANTINA'!F23+'68.50.50 rest DAS+CPFA'!F23</f>
        <v>527</v>
      </c>
      <c r="G23" s="422">
        <f>'68.04-PERS.VARSTNICE'!G23+'68.02.05 CUMULAT AP+SF.NIC'!G23+'68.06 centralizat'!G23+'68.15.01-AJ SOC'!G23+'68.15.02-CANTINA'!G23+'68.50.50 rest DAS+CPFA'!G23</f>
        <v>0</v>
      </c>
      <c r="H23" s="422">
        <f>'68.04-PERS.VARSTNICE'!H23+'68.02.05 CUMULAT AP+SF.NIC'!H23+'68.06 centralizat'!H23+'68.15.01-AJ SOC'!H23+'68.15.02-CANTINA'!H23+'68.50.50 rest DAS+CPFA'!H23</f>
        <v>506</v>
      </c>
      <c r="I23" s="422">
        <f>'68.04-PERS.VARSTNICE'!I23+'68.02.05 CUMULAT AP+SF.NIC'!I23+'68.06 centralizat'!I23+'68.15.01-AJ SOC'!I23+'68.15.02-CANTINA'!I23+'68.50.50 rest DAS+CPFA'!I23</f>
        <v>11</v>
      </c>
      <c r="J23" s="422">
        <f>'68.04-PERS.VARSTNICE'!J23+'68.02.05 CUMULAT AP+SF.NIC'!J23+'68.06 centralizat'!J23+'68.15.01-AJ SOC'!J23+'68.15.02-CANTINA'!J23+'68.50.50 rest DAS+CPFA'!J23</f>
        <v>10</v>
      </c>
      <c r="K23" s="250"/>
      <c r="L23" s="91"/>
      <c r="M23" s="780"/>
      <c r="P23" s="48"/>
    </row>
    <row r="24" spans="1:16" s="4" customFormat="1" ht="12.75" customHeight="1" thickBot="1" x14ac:dyDescent="0.25">
      <c r="A24" s="689">
        <v>14</v>
      </c>
      <c r="B24" s="40" t="s">
        <v>43</v>
      </c>
      <c r="C24" s="54" t="s">
        <v>44</v>
      </c>
      <c r="D24" s="422">
        <f>'68.04-PERS.VARSTNICE'!D24+'68.02.05 CUMULAT AP+SF.NIC'!D24+'68.06 centralizat'!D24+'68.15.01-AJ SOC'!D24+'68.15.02-CANTINA'!D24+'68.50.50 rest DAS+CPFA'!D24</f>
        <v>0</v>
      </c>
      <c r="E24" s="422">
        <f>'68.04-PERS.VARSTNICE'!E24+'68.02.05 CUMULAT AP+SF.NIC'!E24+'68.06 centralizat'!E24+'68.15.01-AJ SOC'!E24+'68.15.02-CANTINA'!E24+'68.50.50 rest DAS+CPFA'!E24</f>
        <v>0</v>
      </c>
      <c r="F24" s="422">
        <f>'68.04-PERS.VARSTNICE'!F24+'68.02.05 CUMULAT AP+SF.NIC'!F24+'68.06 centralizat'!F24+'68.15.01-AJ SOC'!F24+'68.15.02-CANTINA'!F24+'68.50.50 rest DAS+CPFA'!F24</f>
        <v>527</v>
      </c>
      <c r="G24" s="422">
        <f>'68.04-PERS.VARSTNICE'!G24+'68.02.05 CUMULAT AP+SF.NIC'!G24+'68.06 centralizat'!G24+'68.15.01-AJ SOC'!G24+'68.15.02-CANTINA'!G24+'68.50.50 rest DAS+CPFA'!G24</f>
        <v>0</v>
      </c>
      <c r="H24" s="422">
        <f>'68.04-PERS.VARSTNICE'!H24+'68.02.05 CUMULAT AP+SF.NIC'!H24+'68.06 centralizat'!H24+'68.15.01-AJ SOC'!H24+'68.15.02-CANTINA'!H24+'68.50.50 rest DAS+CPFA'!H24</f>
        <v>506</v>
      </c>
      <c r="I24" s="422">
        <f>'68.04-PERS.VARSTNICE'!I24+'68.02.05 CUMULAT AP+SF.NIC'!I24+'68.06 centralizat'!I24+'68.15.01-AJ SOC'!I24+'68.15.02-CANTINA'!I24+'68.50.50 rest DAS+CPFA'!I24</f>
        <v>11</v>
      </c>
      <c r="J24" s="422">
        <f>'68.04-PERS.VARSTNICE'!J24+'68.02.05 CUMULAT AP+SF.NIC'!J24+'68.06 centralizat'!J24+'68.15.01-AJ SOC'!J24+'68.15.02-CANTINA'!J24+'68.50.50 rest DAS+CPFA'!J24</f>
        <v>10</v>
      </c>
      <c r="K24" s="250"/>
      <c r="L24" s="91"/>
      <c r="M24" s="780"/>
      <c r="P24" s="48"/>
    </row>
    <row r="25" spans="1:16" s="4" customFormat="1" ht="12.75" hidden="1" customHeight="1" thickBot="1" x14ac:dyDescent="0.25">
      <c r="A25" s="820">
        <v>15</v>
      </c>
      <c r="B25" s="40" t="s">
        <v>230</v>
      </c>
      <c r="C25" s="54" t="s">
        <v>231</v>
      </c>
      <c r="D25" s="422">
        <f>'68.04-PERS.VARSTNICE'!D25+'68.02.05 CUMULAT AP+SF.NIC'!D25+'68.06 centralizat'!D25+'68.15.01-AJ SOC'!D25+'68.15.02-CANTINA'!D25+'68.50.50 rest DAS+CPFA'!D25</f>
        <v>0</v>
      </c>
      <c r="E25" s="422">
        <f>'68.04-PERS.VARSTNICE'!E25+'68.02.05 CUMULAT AP+SF.NIC'!E25+'68.06 centralizat'!E25+'68.15.01-AJ SOC'!E25+'68.15.02-CANTINA'!E25+'68.50.50 rest DAS+CPFA'!E25</f>
        <v>0</v>
      </c>
      <c r="F25" s="422">
        <f>'68.04-PERS.VARSTNICE'!F25+'68.02.05 CUMULAT AP+SF.NIC'!F25+'68.06 centralizat'!F25+'68.15.01-AJ SOC'!F25+'68.15.02-CANTINA'!F25+'68.50.50 rest DAS+CPFA'!F25</f>
        <v>0</v>
      </c>
      <c r="G25" s="422">
        <f>'68.04-PERS.VARSTNICE'!G25+'68.02.05 CUMULAT AP+SF.NIC'!G25+'68.06 centralizat'!G25+'68.15.01-AJ SOC'!G25+'68.15.02-CANTINA'!G25+'68.50.50 rest DAS+CPFA'!G25</f>
        <v>0</v>
      </c>
      <c r="H25" s="422">
        <f>'68.04-PERS.VARSTNICE'!H25+'68.02.05 CUMULAT AP+SF.NIC'!H25+'68.06 centralizat'!H25+'68.15.01-AJ SOC'!H25+'68.15.02-CANTINA'!H25+'68.50.50 rest DAS+CPFA'!H25</f>
        <v>0</v>
      </c>
      <c r="I25" s="422">
        <f>'68.04-PERS.VARSTNICE'!I25+'68.02.05 CUMULAT AP+SF.NIC'!I25+'68.06 centralizat'!I25+'68.15.01-AJ SOC'!I25+'68.15.02-CANTINA'!I25+'68.50.50 rest DAS+CPFA'!I25</f>
        <v>0</v>
      </c>
      <c r="J25" s="422">
        <f>'68.04-PERS.VARSTNICE'!J25+'68.02.05 CUMULAT AP+SF.NIC'!J25+'68.06 centralizat'!J25+'68.15.01-AJ SOC'!J25+'68.15.02-CANTINA'!J25+'68.50.50 rest DAS+CPFA'!J25</f>
        <v>0</v>
      </c>
      <c r="K25" s="250"/>
      <c r="L25" s="91"/>
      <c r="M25" s="780"/>
      <c r="P25" s="48"/>
    </row>
    <row r="26" spans="1:16" s="4" customFormat="1" ht="12.75" customHeight="1" thickBot="1" x14ac:dyDescent="0.25">
      <c r="A26" s="689">
        <v>16</v>
      </c>
      <c r="B26" s="55" t="s">
        <v>45</v>
      </c>
      <c r="C26" s="56" t="s">
        <v>46</v>
      </c>
      <c r="D26" s="422">
        <f>'68.04-PERS.VARSTNICE'!D26+'68.02.05 CUMULAT AP+SF.NIC'!D26+'68.06 centralizat'!D26+'68.15.01-AJ SOC'!D26+'68.15.02-CANTINA'!D26+'68.50.50 rest DAS+CPFA'!D26</f>
        <v>0</v>
      </c>
      <c r="E26" s="422">
        <f>'68.04-PERS.VARSTNICE'!E26+'68.02.05 CUMULAT AP+SF.NIC'!E26+'68.06 centralizat'!E26+'68.15.01-AJ SOC'!E26+'68.15.02-CANTINA'!E26+'68.50.50 rest DAS+CPFA'!E26</f>
        <v>0</v>
      </c>
      <c r="F26" s="422">
        <f>'68.04-PERS.VARSTNICE'!F26+'68.02.05 CUMULAT AP+SF.NIC'!F26+'68.06 centralizat'!F26+'68.15.01-AJ SOC'!F26+'68.15.02-CANTINA'!F26+'68.50.50 rest DAS+CPFA'!F26</f>
        <v>1113</v>
      </c>
      <c r="G26" s="422">
        <f>'68.04-PERS.VARSTNICE'!G26+'68.02.05 CUMULAT AP+SF.NIC'!G26+'68.06 centralizat'!G26+'68.15.01-AJ SOC'!G26+'68.15.02-CANTINA'!G26+'68.50.50 rest DAS+CPFA'!G26</f>
        <v>264</v>
      </c>
      <c r="H26" s="422">
        <f>'68.04-PERS.VARSTNICE'!H26+'68.02.05 CUMULAT AP+SF.NIC'!H26+'68.06 centralizat'!H26+'68.15.01-AJ SOC'!H26+'68.15.02-CANTINA'!H26+'68.50.50 rest DAS+CPFA'!H26</f>
        <v>281</v>
      </c>
      <c r="I26" s="422">
        <f>'68.04-PERS.VARSTNICE'!I26+'68.02.05 CUMULAT AP+SF.NIC'!I26+'68.06 centralizat'!I26+'68.15.01-AJ SOC'!I26+'68.15.02-CANTINA'!I26+'68.50.50 rest DAS+CPFA'!I26</f>
        <v>286</v>
      </c>
      <c r="J26" s="422">
        <f>'68.04-PERS.VARSTNICE'!J26+'68.02.05 CUMULAT AP+SF.NIC'!J26+'68.06 centralizat'!J26+'68.15.01-AJ SOC'!J26+'68.15.02-CANTINA'!J26+'68.50.50 rest DAS+CPFA'!J26</f>
        <v>282</v>
      </c>
      <c r="K26" s="104"/>
      <c r="L26" s="103"/>
      <c r="M26" s="781"/>
    </row>
    <row r="27" spans="1:16" s="4" customFormat="1" ht="12.75" hidden="1" customHeight="1" thickBot="1" x14ac:dyDescent="0.25">
      <c r="A27" s="820">
        <v>17</v>
      </c>
      <c r="B27" s="59" t="s">
        <v>47</v>
      </c>
      <c r="C27" s="41" t="s">
        <v>48</v>
      </c>
      <c r="D27" s="422">
        <f>'68.04-PERS.VARSTNICE'!D27+'68.02.05 CUMULAT AP+SF.NIC'!D27+'68.06 centralizat'!D27+'68.15.01-AJ SOC'!D27+'68.15.02-CANTINA'!D27+'68.50.50 rest DAS+CPFA'!D27</f>
        <v>0</v>
      </c>
      <c r="E27" s="422">
        <f>'68.04-PERS.VARSTNICE'!E27+'68.02.05 CUMULAT AP+SF.NIC'!E27+'68.06 centralizat'!E27+'68.15.01-AJ SOC'!E27+'68.15.02-CANTINA'!E27+'68.50.50 rest DAS+CPFA'!E27</f>
        <v>0</v>
      </c>
      <c r="F27" s="422">
        <f>'68.04-PERS.VARSTNICE'!F27+'68.02.05 CUMULAT AP+SF.NIC'!F27+'68.06 centralizat'!F27+'68.15.01-AJ SOC'!F27+'68.15.02-CANTINA'!F27+'68.50.50 rest DAS+CPFA'!F27</f>
        <v>0</v>
      </c>
      <c r="G27" s="422">
        <f>'68.04-PERS.VARSTNICE'!G27+'68.02.05 CUMULAT AP+SF.NIC'!G27+'68.06 centralizat'!G27+'68.15.01-AJ SOC'!G27+'68.15.02-CANTINA'!G27+'68.50.50 rest DAS+CPFA'!G27</f>
        <v>0</v>
      </c>
      <c r="H27" s="422">
        <f>'68.04-PERS.VARSTNICE'!H27+'68.02.05 CUMULAT AP+SF.NIC'!H27+'68.06 centralizat'!H27+'68.15.01-AJ SOC'!H27+'68.15.02-CANTINA'!H27+'68.50.50 rest DAS+CPFA'!H27</f>
        <v>0</v>
      </c>
      <c r="I27" s="422">
        <f>'68.04-PERS.VARSTNICE'!I27+'68.02.05 CUMULAT AP+SF.NIC'!I27+'68.06 centralizat'!I27+'68.15.01-AJ SOC'!I27+'68.15.02-CANTINA'!I27+'68.50.50 rest DAS+CPFA'!I27</f>
        <v>0</v>
      </c>
      <c r="J27" s="422">
        <f>'68.04-PERS.VARSTNICE'!J27+'68.02.05 CUMULAT AP+SF.NIC'!J27+'68.06 centralizat'!J27+'68.15.01-AJ SOC'!J27+'68.15.02-CANTINA'!J27+'68.50.50 rest DAS+CPFA'!J27</f>
        <v>0</v>
      </c>
      <c r="K27" s="250"/>
      <c r="L27" s="91"/>
      <c r="M27" s="780"/>
    </row>
    <row r="28" spans="1:16" s="4" customFormat="1" ht="12.75" hidden="1" customHeight="1" thickBot="1" x14ac:dyDescent="0.25">
      <c r="A28" s="689">
        <v>18</v>
      </c>
      <c r="B28" s="59" t="s">
        <v>49</v>
      </c>
      <c r="C28" s="41" t="s">
        <v>50</v>
      </c>
      <c r="D28" s="422">
        <f>'68.04-PERS.VARSTNICE'!D28+'68.02.05 CUMULAT AP+SF.NIC'!D28+'68.06 centralizat'!D28+'68.15.01-AJ SOC'!D28+'68.15.02-CANTINA'!D28+'68.50.50 rest DAS+CPFA'!D28</f>
        <v>0</v>
      </c>
      <c r="E28" s="422">
        <f>'68.04-PERS.VARSTNICE'!E28+'68.02.05 CUMULAT AP+SF.NIC'!E28+'68.06 centralizat'!E28+'68.15.01-AJ SOC'!E28+'68.15.02-CANTINA'!E28+'68.50.50 rest DAS+CPFA'!E28</f>
        <v>0</v>
      </c>
      <c r="F28" s="422">
        <f>'68.04-PERS.VARSTNICE'!F28+'68.02.05 CUMULAT AP+SF.NIC'!F28+'68.06 centralizat'!F28+'68.15.01-AJ SOC'!F28+'68.15.02-CANTINA'!F28+'68.50.50 rest DAS+CPFA'!F28</f>
        <v>0</v>
      </c>
      <c r="G28" s="422">
        <f>'68.04-PERS.VARSTNICE'!G28+'68.02.05 CUMULAT AP+SF.NIC'!G28+'68.06 centralizat'!G28+'68.15.01-AJ SOC'!G28+'68.15.02-CANTINA'!G28+'68.50.50 rest DAS+CPFA'!G28</f>
        <v>0</v>
      </c>
      <c r="H28" s="422">
        <f>'68.04-PERS.VARSTNICE'!H28+'68.02.05 CUMULAT AP+SF.NIC'!H28+'68.06 centralizat'!H28+'68.15.01-AJ SOC'!H28+'68.15.02-CANTINA'!H28+'68.50.50 rest DAS+CPFA'!H28</f>
        <v>0</v>
      </c>
      <c r="I28" s="422">
        <f>'68.04-PERS.VARSTNICE'!I28+'68.02.05 CUMULAT AP+SF.NIC'!I28+'68.06 centralizat'!I28+'68.15.01-AJ SOC'!I28+'68.15.02-CANTINA'!I28+'68.50.50 rest DAS+CPFA'!I28</f>
        <v>0</v>
      </c>
      <c r="J28" s="422">
        <f>'68.04-PERS.VARSTNICE'!J28+'68.02.05 CUMULAT AP+SF.NIC'!J28+'68.06 centralizat'!J28+'68.15.01-AJ SOC'!J28+'68.15.02-CANTINA'!J28+'68.50.50 rest DAS+CPFA'!J28</f>
        <v>0</v>
      </c>
      <c r="K28" s="250"/>
      <c r="L28" s="91"/>
      <c r="M28" s="780"/>
    </row>
    <row r="29" spans="1:16" s="4" customFormat="1" ht="12.75" hidden="1" customHeight="1" thickBot="1" x14ac:dyDescent="0.25">
      <c r="A29" s="820">
        <v>19</v>
      </c>
      <c r="B29" s="59" t="s">
        <v>51</v>
      </c>
      <c r="C29" s="41" t="s">
        <v>52</v>
      </c>
      <c r="D29" s="422">
        <f>'68.04-PERS.VARSTNICE'!D29+'68.02.05 CUMULAT AP+SF.NIC'!D29+'68.06 centralizat'!D29+'68.15.01-AJ SOC'!D29+'68.15.02-CANTINA'!D29+'68.50.50 rest DAS+CPFA'!D29</f>
        <v>0</v>
      </c>
      <c r="E29" s="422">
        <f>'68.04-PERS.VARSTNICE'!E29+'68.02.05 CUMULAT AP+SF.NIC'!E29+'68.06 centralizat'!E29+'68.15.01-AJ SOC'!E29+'68.15.02-CANTINA'!E29+'68.50.50 rest DAS+CPFA'!E29</f>
        <v>0</v>
      </c>
      <c r="F29" s="422">
        <f>'68.04-PERS.VARSTNICE'!F29+'68.02.05 CUMULAT AP+SF.NIC'!F29+'68.06 centralizat'!F29+'68.15.01-AJ SOC'!F29+'68.15.02-CANTINA'!F29+'68.50.50 rest DAS+CPFA'!F29</f>
        <v>0</v>
      </c>
      <c r="G29" s="422">
        <f>'68.04-PERS.VARSTNICE'!G29+'68.02.05 CUMULAT AP+SF.NIC'!G29+'68.06 centralizat'!G29+'68.15.01-AJ SOC'!G29+'68.15.02-CANTINA'!G29+'68.50.50 rest DAS+CPFA'!G29</f>
        <v>0</v>
      </c>
      <c r="H29" s="422">
        <f>'68.04-PERS.VARSTNICE'!H29+'68.02.05 CUMULAT AP+SF.NIC'!H29+'68.06 centralizat'!H29+'68.15.01-AJ SOC'!H29+'68.15.02-CANTINA'!H29+'68.50.50 rest DAS+CPFA'!H29</f>
        <v>0</v>
      </c>
      <c r="I29" s="422">
        <f>'68.04-PERS.VARSTNICE'!I29+'68.02.05 CUMULAT AP+SF.NIC'!I29+'68.06 centralizat'!I29+'68.15.01-AJ SOC'!I29+'68.15.02-CANTINA'!I29+'68.50.50 rest DAS+CPFA'!I29</f>
        <v>0</v>
      </c>
      <c r="J29" s="422">
        <f>'68.04-PERS.VARSTNICE'!J29+'68.02.05 CUMULAT AP+SF.NIC'!J29+'68.06 centralizat'!J29+'68.15.01-AJ SOC'!J29+'68.15.02-CANTINA'!J29+'68.50.50 rest DAS+CPFA'!J29</f>
        <v>0</v>
      </c>
      <c r="K29" s="250"/>
      <c r="L29" s="91"/>
      <c r="M29" s="780"/>
    </row>
    <row r="30" spans="1:16" s="4" customFormat="1" ht="25.5" hidden="1" customHeight="1" thickBot="1" x14ac:dyDescent="0.25">
      <c r="A30" s="689">
        <v>20</v>
      </c>
      <c r="B30" s="60" t="s">
        <v>53</v>
      </c>
      <c r="C30" s="61" t="s">
        <v>54</v>
      </c>
      <c r="D30" s="422">
        <f>'68.04-PERS.VARSTNICE'!D30+'68.02.05 CUMULAT AP+SF.NIC'!D30+'68.06 centralizat'!D30+'68.15.01-AJ SOC'!D30+'68.15.02-CANTINA'!D30+'68.50.50 rest DAS+CPFA'!D30</f>
        <v>0</v>
      </c>
      <c r="E30" s="422">
        <f>'68.04-PERS.VARSTNICE'!E30+'68.02.05 CUMULAT AP+SF.NIC'!E30+'68.06 centralizat'!E30+'68.15.01-AJ SOC'!E30+'68.15.02-CANTINA'!E30+'68.50.50 rest DAS+CPFA'!E30</f>
        <v>0</v>
      </c>
      <c r="F30" s="422">
        <f>'68.04-PERS.VARSTNICE'!F30+'68.02.05 CUMULAT AP+SF.NIC'!F30+'68.06 centralizat'!F30+'68.15.01-AJ SOC'!F30+'68.15.02-CANTINA'!F30+'68.50.50 rest DAS+CPFA'!F30</f>
        <v>0</v>
      </c>
      <c r="G30" s="422">
        <f>'68.04-PERS.VARSTNICE'!G30+'68.02.05 CUMULAT AP+SF.NIC'!G30+'68.06 centralizat'!G30+'68.15.01-AJ SOC'!G30+'68.15.02-CANTINA'!G30+'68.50.50 rest DAS+CPFA'!G30</f>
        <v>0</v>
      </c>
      <c r="H30" s="422">
        <f>'68.04-PERS.VARSTNICE'!H30+'68.02.05 CUMULAT AP+SF.NIC'!H30+'68.06 centralizat'!H30+'68.15.01-AJ SOC'!H30+'68.15.02-CANTINA'!H30+'68.50.50 rest DAS+CPFA'!H30</f>
        <v>0</v>
      </c>
      <c r="I30" s="422">
        <f>'68.04-PERS.VARSTNICE'!I30+'68.02.05 CUMULAT AP+SF.NIC'!I30+'68.06 centralizat'!I30+'68.15.01-AJ SOC'!I30+'68.15.02-CANTINA'!I30+'68.50.50 rest DAS+CPFA'!I30</f>
        <v>0</v>
      </c>
      <c r="J30" s="422">
        <f>'68.04-PERS.VARSTNICE'!J30+'68.02.05 CUMULAT AP+SF.NIC'!J30+'68.06 centralizat'!J30+'68.15.01-AJ SOC'!J30+'68.15.02-CANTINA'!J30+'68.50.50 rest DAS+CPFA'!J30</f>
        <v>0</v>
      </c>
      <c r="K30" s="250"/>
      <c r="L30" s="91"/>
      <c r="M30" s="780"/>
    </row>
    <row r="31" spans="1:16" s="4" customFormat="1" ht="12.75" hidden="1" customHeight="1" thickBot="1" x14ac:dyDescent="0.25">
      <c r="A31" s="820">
        <v>21</v>
      </c>
      <c r="B31" s="59" t="s">
        <v>55</v>
      </c>
      <c r="C31" s="41" t="s">
        <v>56</v>
      </c>
      <c r="D31" s="422">
        <f>'68.04-PERS.VARSTNICE'!D31+'68.02.05 CUMULAT AP+SF.NIC'!D31+'68.06 centralizat'!D31+'68.15.01-AJ SOC'!D31+'68.15.02-CANTINA'!D31+'68.50.50 rest DAS+CPFA'!D31</f>
        <v>0</v>
      </c>
      <c r="E31" s="422">
        <f>'68.04-PERS.VARSTNICE'!E31+'68.02.05 CUMULAT AP+SF.NIC'!E31+'68.06 centralizat'!E31+'68.15.01-AJ SOC'!E31+'68.15.02-CANTINA'!E31+'68.50.50 rest DAS+CPFA'!E31</f>
        <v>0</v>
      </c>
      <c r="F31" s="422">
        <f>'68.04-PERS.VARSTNICE'!F31+'68.02.05 CUMULAT AP+SF.NIC'!F31+'68.06 centralizat'!F31+'68.15.01-AJ SOC'!F31+'68.15.02-CANTINA'!F31+'68.50.50 rest DAS+CPFA'!F31</f>
        <v>0</v>
      </c>
      <c r="G31" s="422">
        <f>'68.04-PERS.VARSTNICE'!G31+'68.02.05 CUMULAT AP+SF.NIC'!G31+'68.06 centralizat'!G31+'68.15.01-AJ SOC'!G31+'68.15.02-CANTINA'!G31+'68.50.50 rest DAS+CPFA'!G31</f>
        <v>0</v>
      </c>
      <c r="H31" s="422">
        <f>'68.04-PERS.VARSTNICE'!H31+'68.02.05 CUMULAT AP+SF.NIC'!H31+'68.06 centralizat'!H31+'68.15.01-AJ SOC'!H31+'68.15.02-CANTINA'!H31+'68.50.50 rest DAS+CPFA'!H31</f>
        <v>0</v>
      </c>
      <c r="I31" s="422">
        <f>'68.04-PERS.VARSTNICE'!I31+'68.02.05 CUMULAT AP+SF.NIC'!I31+'68.06 centralizat'!I31+'68.15.01-AJ SOC'!I31+'68.15.02-CANTINA'!I31+'68.50.50 rest DAS+CPFA'!I31</f>
        <v>0</v>
      </c>
      <c r="J31" s="422">
        <f>'68.04-PERS.VARSTNICE'!J31+'68.02.05 CUMULAT AP+SF.NIC'!J31+'68.06 centralizat'!J31+'68.15.01-AJ SOC'!J31+'68.15.02-CANTINA'!J31+'68.50.50 rest DAS+CPFA'!J31</f>
        <v>0</v>
      </c>
      <c r="K31" s="250"/>
      <c r="L31" s="91"/>
      <c r="M31" s="780"/>
    </row>
    <row r="32" spans="1:16" s="4" customFormat="1" ht="12.75" customHeight="1" thickBot="1" x14ac:dyDescent="0.25">
      <c r="A32" s="689">
        <v>22</v>
      </c>
      <c r="B32" s="59" t="s">
        <v>57</v>
      </c>
      <c r="C32" s="41" t="s">
        <v>58</v>
      </c>
      <c r="D32" s="422">
        <f>'68.04-PERS.VARSTNICE'!D32+'68.02.05 CUMULAT AP+SF.NIC'!D32+'68.06 centralizat'!D32+'68.15.01-AJ SOC'!D32+'68.15.02-CANTINA'!D32+'68.50.50 rest DAS+CPFA'!D32</f>
        <v>0</v>
      </c>
      <c r="E32" s="422">
        <f>'68.04-PERS.VARSTNICE'!E32+'68.02.05 CUMULAT AP+SF.NIC'!E32+'68.06 centralizat'!E32+'68.15.01-AJ SOC'!E32+'68.15.02-CANTINA'!E32+'68.50.50 rest DAS+CPFA'!E32</f>
        <v>0</v>
      </c>
      <c r="F32" s="422">
        <f>'68.04-PERS.VARSTNICE'!F32+'68.02.05 CUMULAT AP+SF.NIC'!F32+'68.06 centralizat'!F32+'68.15.01-AJ SOC'!F32+'68.15.02-CANTINA'!F32+'68.50.50 rest DAS+CPFA'!F32</f>
        <v>1113</v>
      </c>
      <c r="G32" s="422">
        <f>'68.04-PERS.VARSTNICE'!G32+'68.02.05 CUMULAT AP+SF.NIC'!G32+'68.06 centralizat'!G32+'68.15.01-AJ SOC'!G32+'68.15.02-CANTINA'!G32+'68.50.50 rest DAS+CPFA'!G32</f>
        <v>264</v>
      </c>
      <c r="H32" s="422">
        <f>'68.04-PERS.VARSTNICE'!H32+'68.02.05 CUMULAT AP+SF.NIC'!H32+'68.06 centralizat'!H32+'68.15.01-AJ SOC'!H32+'68.15.02-CANTINA'!H32+'68.50.50 rest DAS+CPFA'!H32</f>
        <v>281</v>
      </c>
      <c r="I32" s="422">
        <f>'68.04-PERS.VARSTNICE'!I32+'68.02.05 CUMULAT AP+SF.NIC'!I32+'68.06 centralizat'!I32+'68.15.01-AJ SOC'!I32+'68.15.02-CANTINA'!I32+'68.50.50 rest DAS+CPFA'!I32</f>
        <v>286</v>
      </c>
      <c r="J32" s="422">
        <f>'68.04-PERS.VARSTNICE'!J32+'68.02.05 CUMULAT AP+SF.NIC'!J32+'68.06 centralizat'!J32+'68.15.01-AJ SOC'!J32+'68.15.02-CANTINA'!J32+'68.50.50 rest DAS+CPFA'!J32</f>
        <v>282</v>
      </c>
      <c r="K32" s="250"/>
      <c r="L32" s="91"/>
      <c r="M32" s="780"/>
    </row>
    <row r="33" spans="1:17" s="4" customFormat="1" ht="12.75" hidden="1" customHeight="1" thickBot="1" x14ac:dyDescent="0.25">
      <c r="A33" s="820">
        <v>23</v>
      </c>
      <c r="B33" s="59" t="s">
        <v>59</v>
      </c>
      <c r="C33" s="41" t="s">
        <v>60</v>
      </c>
      <c r="D33" s="422">
        <f>'68.04-PERS.VARSTNICE'!D33+'68.02.05 CUMULAT AP+SF.NIC'!D33+'68.06 centralizat'!D33+'68.15.01-AJ SOC'!D33+'68.15.02-CANTINA'!D33+'68.50.50 rest DAS+CPFA'!D33</f>
        <v>0</v>
      </c>
      <c r="E33" s="422">
        <f>'68.04-PERS.VARSTNICE'!E33+'68.02.05 CUMULAT AP+SF.NIC'!E33+'68.06 centralizat'!E33+'68.15.01-AJ SOC'!E33+'68.15.02-CANTINA'!E33+'68.50.50 rest DAS+CPFA'!E33</f>
        <v>0</v>
      </c>
      <c r="F33" s="422">
        <f>'68.04-PERS.VARSTNICE'!F33+'68.02.05 CUMULAT AP+SF.NIC'!F33+'68.06 centralizat'!F33+'68.15.01-AJ SOC'!F33+'68.15.02-CANTINA'!F33+'68.50.50 rest DAS+CPFA'!F33</f>
        <v>0</v>
      </c>
      <c r="G33" s="422">
        <f>'68.04-PERS.VARSTNICE'!G33+'68.02.05 CUMULAT AP+SF.NIC'!G33+'68.06 centralizat'!G33+'68.15.01-AJ SOC'!G33+'68.15.02-CANTINA'!G33+'68.50.50 rest DAS+CPFA'!G33</f>
        <v>0</v>
      </c>
      <c r="H33" s="422">
        <f>'68.04-PERS.VARSTNICE'!H33+'68.02.05 CUMULAT AP+SF.NIC'!H33+'68.06 centralizat'!H33+'68.15.01-AJ SOC'!H33+'68.15.02-CANTINA'!H33+'68.50.50 rest DAS+CPFA'!H33</f>
        <v>0</v>
      </c>
      <c r="I33" s="422">
        <f>'68.04-PERS.VARSTNICE'!I33+'68.02.05 CUMULAT AP+SF.NIC'!I33+'68.06 centralizat'!I33+'68.15.01-AJ SOC'!I33+'68.15.02-CANTINA'!I33+'68.50.50 rest DAS+CPFA'!I33</f>
        <v>0</v>
      </c>
      <c r="J33" s="422">
        <f>'68.04-PERS.VARSTNICE'!J33+'68.02.05 CUMULAT AP+SF.NIC'!J33+'68.06 centralizat'!J33+'68.15.01-AJ SOC'!J33+'68.15.02-CANTINA'!J33+'68.50.50 rest DAS+CPFA'!J33</f>
        <v>0</v>
      </c>
      <c r="K33" s="250"/>
      <c r="L33" s="91"/>
      <c r="M33" s="780"/>
    </row>
    <row r="34" spans="1:17" s="4" customFormat="1" ht="25.5" customHeight="1" thickBot="1" x14ac:dyDescent="0.25">
      <c r="A34" s="689">
        <v>24</v>
      </c>
      <c r="B34" s="169" t="s">
        <v>61</v>
      </c>
      <c r="C34" s="170">
        <v>20</v>
      </c>
      <c r="D34" s="422">
        <f>'68.04-PERS.VARSTNICE'!D34+'68.02.05 CUMULAT AP+SF.NIC'!D34+'68.06 centralizat'!D34+'68.15.01-AJ SOC'!D34+'68.15.02-CANTINA'!D34+'68.50.50 rest DAS+CPFA'!D34</f>
        <v>0</v>
      </c>
      <c r="E34" s="422">
        <f>'68.04-PERS.VARSTNICE'!E34+'68.02.05 CUMULAT AP+SF.NIC'!E34+'68.06 centralizat'!E34+'68.15.01-AJ SOC'!E34+'68.15.02-CANTINA'!E34+'68.50.50 rest DAS+CPFA'!E34</f>
        <v>0</v>
      </c>
      <c r="F34" s="422">
        <f>'68.04-PERS.VARSTNICE'!F34+'68.02.05 CUMULAT AP+SF.NIC'!F34+'68.06 centralizat'!F34+'68.15.01-AJ SOC'!F34+'68.15.02-CANTINA'!F34+'68.50.50 rest DAS+CPFA'!F34</f>
        <v>8793.66</v>
      </c>
      <c r="G34" s="422">
        <f>'68.04-PERS.VARSTNICE'!G34+'68.02.05 CUMULAT AP+SF.NIC'!G34+'68.06 centralizat'!G34+'68.15.01-AJ SOC'!G34+'68.15.02-CANTINA'!G34+'68.50.50 rest DAS+CPFA'!G34</f>
        <v>2530</v>
      </c>
      <c r="H34" s="422">
        <f>'68.04-PERS.VARSTNICE'!H34+'68.02.05 CUMULAT AP+SF.NIC'!H34+'68.06 centralizat'!H34+'68.15.01-AJ SOC'!H34+'68.15.02-CANTINA'!H34+'68.50.50 rest DAS+CPFA'!H34</f>
        <v>2499.66</v>
      </c>
      <c r="I34" s="422">
        <f>'68.04-PERS.VARSTNICE'!I34+'68.02.05 CUMULAT AP+SF.NIC'!I34+'68.06 centralizat'!I34+'68.15.01-AJ SOC'!I34+'68.15.02-CANTINA'!I34+'68.50.50 rest DAS+CPFA'!I34</f>
        <v>2037</v>
      </c>
      <c r="J34" s="422">
        <f>'68.04-PERS.VARSTNICE'!J34+'68.02.05 CUMULAT AP+SF.NIC'!J34+'68.06 centralizat'!J34+'68.15.01-AJ SOC'!J34+'68.15.02-CANTINA'!J34+'68.50.50 rest DAS+CPFA'!J34</f>
        <v>1727</v>
      </c>
      <c r="K34" s="1010">
        <f>'68.04-PERS.VARSTNICE'!K34+'68.02.05 CUMULAT AP+SF.NIC'!K34+'68.06 centralizat'!K34+'68.12 CENTRALIZATOR'!K34+'68.15.01-AJ SOC'!K34+'68.15.02-CANTINA'!K34+'68.50.50 rest DAS+CPFA'!K34+0.37</f>
        <v>8701.9994480000023</v>
      </c>
      <c r="L34" s="1010">
        <f>'68.04-PERS.VARSTNICE'!L34+'68.02.05 CUMULAT AP+SF.NIC'!L34+'68.06 centralizat'!L34+'68.12 CENTRALIZATOR'!L34+'68.15.01-AJ SOC'!L34+'68.15.02-CANTINA'!L34+'68.50.50 rest DAS+CPFA'!L34+0.65</f>
        <v>8729.9984700000005</v>
      </c>
      <c r="M34" s="1013">
        <f>'68.04-PERS.VARSTNICE'!M34+'68.02.05 CUMULAT AP+SF.NIC'!M34+'68.06 centralizat'!M34+'68.12 CENTRALIZATOR'!M34+'68.15.01-AJ SOC'!M34+'68.15.02-CANTINA'!M34+'68.50.50 rest DAS+CPFA'!M34-0.24</f>
        <v>8752.9994300000017</v>
      </c>
      <c r="P34" s="366"/>
    </row>
    <row r="35" spans="1:17" s="4" customFormat="1" ht="12.75" customHeight="1" thickBot="1" x14ac:dyDescent="0.25">
      <c r="A35" s="820">
        <v>25</v>
      </c>
      <c r="B35" s="160" t="s">
        <v>62</v>
      </c>
      <c r="C35" s="56" t="s">
        <v>63</v>
      </c>
      <c r="D35" s="422">
        <f>'68.04-PERS.VARSTNICE'!D35+'68.02.05 CUMULAT AP+SF.NIC'!D35+'68.06 centralizat'!D35+'68.15.01-AJ SOC'!D35+'68.15.02-CANTINA'!D35+'68.50.50 rest DAS+CPFA'!D35</f>
        <v>0</v>
      </c>
      <c r="E35" s="422">
        <f>'68.04-PERS.VARSTNICE'!E35+'68.02.05 CUMULAT AP+SF.NIC'!E35+'68.06 centralizat'!E35+'68.15.01-AJ SOC'!E35+'68.15.02-CANTINA'!E35+'68.50.50 rest DAS+CPFA'!E35</f>
        <v>0</v>
      </c>
      <c r="F35" s="422">
        <f>'68.04-PERS.VARSTNICE'!F35+'68.02.05 CUMULAT AP+SF.NIC'!F35+'68.06 centralizat'!F35+'68.15.01-AJ SOC'!F35+'68.15.02-CANTINA'!F35+'68.50.50 rest DAS+CPFA'!F35</f>
        <v>3142</v>
      </c>
      <c r="G35" s="422">
        <f>'68.04-PERS.VARSTNICE'!G35+'68.02.05 CUMULAT AP+SF.NIC'!G35+'68.06 centralizat'!G35+'68.15.01-AJ SOC'!G35+'68.15.02-CANTINA'!G35+'68.50.50 rest DAS+CPFA'!G35</f>
        <v>1578</v>
      </c>
      <c r="H35" s="422">
        <f>'68.04-PERS.VARSTNICE'!H35+'68.02.05 CUMULAT AP+SF.NIC'!H35+'68.06 centralizat'!H35+'68.15.01-AJ SOC'!H35+'68.15.02-CANTINA'!H35+'68.50.50 rest DAS+CPFA'!H35</f>
        <v>829</v>
      </c>
      <c r="I35" s="422">
        <f>'68.04-PERS.VARSTNICE'!I35+'68.02.05 CUMULAT AP+SF.NIC'!I35+'68.06 centralizat'!I35+'68.15.01-AJ SOC'!I35+'68.15.02-CANTINA'!I35+'68.50.50 rest DAS+CPFA'!I35</f>
        <v>466</v>
      </c>
      <c r="J35" s="422">
        <f>'68.04-PERS.VARSTNICE'!J35+'68.02.05 CUMULAT AP+SF.NIC'!J35+'68.06 centralizat'!J35+'68.15.01-AJ SOC'!J35+'68.15.02-CANTINA'!J35+'68.50.50 rest DAS+CPFA'!J35</f>
        <v>269</v>
      </c>
      <c r="K35" s="104"/>
      <c r="L35" s="103"/>
      <c r="M35" s="781"/>
    </row>
    <row r="36" spans="1:17" s="4" customFormat="1" ht="12.75" customHeight="1" thickBot="1" x14ac:dyDescent="0.25">
      <c r="A36" s="689">
        <v>26</v>
      </c>
      <c r="B36" s="55" t="s">
        <v>64</v>
      </c>
      <c r="C36" s="41" t="s">
        <v>65</v>
      </c>
      <c r="D36" s="422">
        <f>'68.04-PERS.VARSTNICE'!D36+'68.02.05 CUMULAT AP+SF.NIC'!D36+'68.06 centralizat'!D36+'68.15.01-AJ SOC'!D36+'68.15.02-CANTINA'!D36+'68.50.50 rest DAS+CPFA'!D36</f>
        <v>0</v>
      </c>
      <c r="E36" s="422">
        <f>'68.04-PERS.VARSTNICE'!E36+'68.02.05 CUMULAT AP+SF.NIC'!E36+'68.06 centralizat'!E36+'68.15.01-AJ SOC'!E36+'68.15.02-CANTINA'!E36+'68.50.50 rest DAS+CPFA'!E36</f>
        <v>0</v>
      </c>
      <c r="F36" s="422">
        <f>'68.04-PERS.VARSTNICE'!F36+'68.02.05 CUMULAT AP+SF.NIC'!F36+'68.06 centralizat'!F36+'68.15.01-AJ SOC'!F36+'68.15.02-CANTINA'!F36+'68.50.50 rest DAS+CPFA'!F36</f>
        <v>35</v>
      </c>
      <c r="G36" s="422">
        <f>'68.04-PERS.VARSTNICE'!G36+'68.02.05 CUMULAT AP+SF.NIC'!G36+'68.06 centralizat'!G36+'68.15.01-AJ SOC'!G36+'68.15.02-CANTINA'!G36+'68.50.50 rest DAS+CPFA'!G36</f>
        <v>20</v>
      </c>
      <c r="H36" s="422">
        <f>'68.04-PERS.VARSTNICE'!H36+'68.02.05 CUMULAT AP+SF.NIC'!H36+'68.06 centralizat'!H36+'68.15.01-AJ SOC'!H36+'68.15.02-CANTINA'!H36+'68.50.50 rest DAS+CPFA'!H36</f>
        <v>15</v>
      </c>
      <c r="I36" s="422">
        <f>'68.04-PERS.VARSTNICE'!I36+'68.02.05 CUMULAT AP+SF.NIC'!I36+'68.06 centralizat'!I36+'68.15.01-AJ SOC'!I36+'68.15.02-CANTINA'!I36+'68.50.50 rest DAS+CPFA'!I36</f>
        <v>0</v>
      </c>
      <c r="J36" s="422">
        <f>'68.04-PERS.VARSTNICE'!J36+'68.02.05 CUMULAT AP+SF.NIC'!J36+'68.06 centralizat'!J36+'68.15.01-AJ SOC'!J36+'68.15.02-CANTINA'!J36+'68.50.50 rest DAS+CPFA'!J36</f>
        <v>0</v>
      </c>
      <c r="K36" s="250"/>
      <c r="L36" s="91"/>
      <c r="M36" s="780"/>
    </row>
    <row r="37" spans="1:17" s="4" customFormat="1" ht="12.75" customHeight="1" thickBot="1" x14ac:dyDescent="0.25">
      <c r="A37" s="820">
        <v>27</v>
      </c>
      <c r="B37" s="59" t="s">
        <v>64</v>
      </c>
      <c r="C37" s="41"/>
      <c r="D37" s="422">
        <f>'68.04-PERS.VARSTNICE'!D37+'68.02.05 CUMULAT AP+SF.NIC'!D37+'68.06 centralizat'!D37+'68.15.01-AJ SOC'!D37+'68.15.02-CANTINA'!D37+'68.50.50 rest DAS+CPFA'!D37</f>
        <v>0</v>
      </c>
      <c r="E37" s="422">
        <f>'68.04-PERS.VARSTNICE'!E37+'68.02.05 CUMULAT AP+SF.NIC'!E37+'68.06 centralizat'!E37+'68.15.01-AJ SOC'!E37+'68.15.02-CANTINA'!E37+'68.50.50 rest DAS+CPFA'!E37</f>
        <v>0</v>
      </c>
      <c r="F37" s="422">
        <f>'68.04-PERS.VARSTNICE'!F37+'68.02.05 CUMULAT AP+SF.NIC'!F37+'68.06 centralizat'!F37+'68.15.01-AJ SOC'!F37+'68.15.02-CANTINA'!F37+'68.50.50 rest DAS+CPFA'!F37</f>
        <v>35</v>
      </c>
      <c r="G37" s="422">
        <f>'68.04-PERS.VARSTNICE'!G37+'68.02.05 CUMULAT AP+SF.NIC'!G37+'68.06 centralizat'!G37+'68.15.01-AJ SOC'!G37+'68.15.02-CANTINA'!G37+'68.50.50 rest DAS+CPFA'!G37</f>
        <v>20</v>
      </c>
      <c r="H37" s="422">
        <f>'68.04-PERS.VARSTNICE'!H37+'68.02.05 CUMULAT AP+SF.NIC'!H37+'68.06 centralizat'!H37+'68.15.01-AJ SOC'!H37+'68.15.02-CANTINA'!H37+'68.50.50 rest DAS+CPFA'!H37</f>
        <v>15</v>
      </c>
      <c r="I37" s="422">
        <f>'68.04-PERS.VARSTNICE'!I37+'68.02.05 CUMULAT AP+SF.NIC'!I37+'68.06 centralizat'!I37+'68.15.01-AJ SOC'!I37+'68.15.02-CANTINA'!I37+'68.50.50 rest DAS+CPFA'!I37</f>
        <v>0</v>
      </c>
      <c r="J37" s="422">
        <f>'68.04-PERS.VARSTNICE'!J37+'68.02.05 CUMULAT AP+SF.NIC'!J37+'68.06 centralizat'!J37+'68.15.01-AJ SOC'!J37+'68.15.02-CANTINA'!J37+'68.50.50 rest DAS+CPFA'!J37</f>
        <v>0</v>
      </c>
      <c r="K37" s="250"/>
      <c r="L37" s="91"/>
      <c r="M37" s="780"/>
    </row>
    <row r="38" spans="1:17" s="4" customFormat="1" ht="12.75" hidden="1" customHeight="1" thickBot="1" x14ac:dyDescent="0.25">
      <c r="A38" s="689">
        <v>28</v>
      </c>
      <c r="B38" s="59" t="s">
        <v>66</v>
      </c>
      <c r="C38" s="41"/>
      <c r="D38" s="422">
        <f>'68.04-PERS.VARSTNICE'!D38+'68.02.05 CUMULAT AP+SF.NIC'!D38+'68.06 centralizat'!D38+'68.15.01-AJ SOC'!D38+'68.15.02-CANTINA'!D38+'68.50.50 rest DAS+CPFA'!D38</f>
        <v>0</v>
      </c>
      <c r="E38" s="422">
        <f>'68.04-PERS.VARSTNICE'!E38+'68.02.05 CUMULAT AP+SF.NIC'!E38+'68.06 centralizat'!E38+'68.15.01-AJ SOC'!E38+'68.15.02-CANTINA'!E38+'68.50.50 rest DAS+CPFA'!E38</f>
        <v>0</v>
      </c>
      <c r="F38" s="422">
        <f>'68.04-PERS.VARSTNICE'!F38+'68.02.05 CUMULAT AP+SF.NIC'!F38+'68.06 centralizat'!F38+'68.15.01-AJ SOC'!F38+'68.15.02-CANTINA'!F38+'68.50.50 rest DAS+CPFA'!F38</f>
        <v>0</v>
      </c>
      <c r="G38" s="422">
        <f>'68.04-PERS.VARSTNICE'!G38+'68.02.05 CUMULAT AP+SF.NIC'!G38+'68.06 centralizat'!G38+'68.15.01-AJ SOC'!G38+'68.15.02-CANTINA'!G38+'68.50.50 rest DAS+CPFA'!G38</f>
        <v>0</v>
      </c>
      <c r="H38" s="422">
        <f>'68.04-PERS.VARSTNICE'!H38+'68.02.05 CUMULAT AP+SF.NIC'!H38+'68.06 centralizat'!H38+'68.15.01-AJ SOC'!H38+'68.15.02-CANTINA'!H38+'68.50.50 rest DAS+CPFA'!H38</f>
        <v>0</v>
      </c>
      <c r="I38" s="422">
        <f>'68.04-PERS.VARSTNICE'!I38+'68.02.05 CUMULAT AP+SF.NIC'!I38+'68.06 centralizat'!I38+'68.15.01-AJ SOC'!I38+'68.15.02-CANTINA'!I38+'68.50.50 rest DAS+CPFA'!I38</f>
        <v>0</v>
      </c>
      <c r="J38" s="422">
        <f>'68.04-PERS.VARSTNICE'!J38+'68.02.05 CUMULAT AP+SF.NIC'!J38+'68.06 centralizat'!J38+'68.15.01-AJ SOC'!J38+'68.15.02-CANTINA'!J38+'68.50.50 rest DAS+CPFA'!J38</f>
        <v>0</v>
      </c>
      <c r="K38" s="250"/>
      <c r="L38" s="91"/>
      <c r="M38" s="780"/>
      <c r="P38" s="51"/>
      <c r="Q38" s="51"/>
    </row>
    <row r="39" spans="1:17" s="4" customFormat="1" ht="12.75" hidden="1" customHeight="1" thickBot="1" x14ac:dyDescent="0.25">
      <c r="A39" s="820">
        <v>29</v>
      </c>
      <c r="B39" s="59" t="s">
        <v>67</v>
      </c>
      <c r="C39" s="41"/>
      <c r="D39" s="422">
        <f>'68.04-PERS.VARSTNICE'!D39+'68.02.05 CUMULAT AP+SF.NIC'!D39+'68.06 centralizat'!D39+'68.15.01-AJ SOC'!D39+'68.15.02-CANTINA'!D39+'68.50.50 rest DAS+CPFA'!D39</f>
        <v>0</v>
      </c>
      <c r="E39" s="422">
        <f>'68.04-PERS.VARSTNICE'!E39+'68.02.05 CUMULAT AP+SF.NIC'!E39+'68.06 centralizat'!E39+'68.15.01-AJ SOC'!E39+'68.15.02-CANTINA'!E39+'68.50.50 rest DAS+CPFA'!E39</f>
        <v>0</v>
      </c>
      <c r="F39" s="422">
        <f>'68.04-PERS.VARSTNICE'!F39+'68.02.05 CUMULAT AP+SF.NIC'!F39+'68.06 centralizat'!F39+'68.15.01-AJ SOC'!F39+'68.15.02-CANTINA'!F39+'68.50.50 rest DAS+CPFA'!F39</f>
        <v>0</v>
      </c>
      <c r="G39" s="422">
        <f>'68.04-PERS.VARSTNICE'!G39+'68.02.05 CUMULAT AP+SF.NIC'!G39+'68.06 centralizat'!G39+'68.15.01-AJ SOC'!G39+'68.15.02-CANTINA'!G39+'68.50.50 rest DAS+CPFA'!G39</f>
        <v>0</v>
      </c>
      <c r="H39" s="422">
        <f>'68.04-PERS.VARSTNICE'!H39+'68.02.05 CUMULAT AP+SF.NIC'!H39+'68.06 centralizat'!H39+'68.15.01-AJ SOC'!H39+'68.15.02-CANTINA'!H39+'68.50.50 rest DAS+CPFA'!H39</f>
        <v>0</v>
      </c>
      <c r="I39" s="422">
        <f>'68.04-PERS.VARSTNICE'!I39+'68.02.05 CUMULAT AP+SF.NIC'!I39+'68.06 centralizat'!I39+'68.15.01-AJ SOC'!I39+'68.15.02-CANTINA'!I39+'68.50.50 rest DAS+CPFA'!I39</f>
        <v>0</v>
      </c>
      <c r="J39" s="422">
        <f>'68.04-PERS.VARSTNICE'!J39+'68.02.05 CUMULAT AP+SF.NIC'!J39+'68.06 centralizat'!J39+'68.15.01-AJ SOC'!J39+'68.15.02-CANTINA'!J39+'68.50.50 rest DAS+CPFA'!J39</f>
        <v>0</v>
      </c>
      <c r="K39" s="250"/>
      <c r="L39" s="91"/>
      <c r="M39" s="780"/>
    </row>
    <row r="40" spans="1:17" s="4" customFormat="1" ht="12.75" customHeight="1" thickBot="1" x14ac:dyDescent="0.25">
      <c r="A40" s="689">
        <v>30</v>
      </c>
      <c r="B40" s="55" t="s">
        <v>68</v>
      </c>
      <c r="C40" s="41" t="s">
        <v>69</v>
      </c>
      <c r="D40" s="422">
        <f>'68.04-PERS.VARSTNICE'!D40+'68.02.05 CUMULAT AP+SF.NIC'!D40+'68.06 centralizat'!D40+'68.15.01-AJ SOC'!D40+'68.15.02-CANTINA'!D40+'68.50.50 rest DAS+CPFA'!D40</f>
        <v>0</v>
      </c>
      <c r="E40" s="422">
        <f>'68.04-PERS.VARSTNICE'!E40+'68.02.05 CUMULAT AP+SF.NIC'!E40+'68.06 centralizat'!E40+'68.15.01-AJ SOC'!E40+'68.15.02-CANTINA'!E40+'68.50.50 rest DAS+CPFA'!E40</f>
        <v>0</v>
      </c>
      <c r="F40" s="422">
        <f>'68.04-PERS.VARSTNICE'!F40+'68.02.05 CUMULAT AP+SF.NIC'!F40+'68.06 centralizat'!F40+'68.15.01-AJ SOC'!F40+'68.15.02-CANTINA'!F40+'68.50.50 rest DAS+CPFA'!F40</f>
        <v>62</v>
      </c>
      <c r="G40" s="422">
        <f>'68.04-PERS.VARSTNICE'!G40+'68.02.05 CUMULAT AP+SF.NIC'!G40+'68.06 centralizat'!G40+'68.15.01-AJ SOC'!G40+'68.15.02-CANTINA'!G40+'68.50.50 rest DAS+CPFA'!G40</f>
        <v>17</v>
      </c>
      <c r="H40" s="422">
        <f>'68.04-PERS.VARSTNICE'!H40+'68.02.05 CUMULAT AP+SF.NIC'!H40+'68.06 centralizat'!H40+'68.15.01-AJ SOC'!H40+'68.15.02-CANTINA'!H40+'68.50.50 rest DAS+CPFA'!H40</f>
        <v>45</v>
      </c>
      <c r="I40" s="422">
        <f>'68.04-PERS.VARSTNICE'!I40+'68.02.05 CUMULAT AP+SF.NIC'!I40+'68.06 centralizat'!I40+'68.15.01-AJ SOC'!I40+'68.15.02-CANTINA'!I40+'68.50.50 rest DAS+CPFA'!I40</f>
        <v>0</v>
      </c>
      <c r="J40" s="422">
        <f>'68.04-PERS.VARSTNICE'!J40+'68.02.05 CUMULAT AP+SF.NIC'!J40+'68.06 centralizat'!J40+'68.15.01-AJ SOC'!J40+'68.15.02-CANTINA'!J40+'68.50.50 rest DAS+CPFA'!J40</f>
        <v>0</v>
      </c>
      <c r="K40" s="250"/>
      <c r="L40" s="91"/>
      <c r="M40" s="780"/>
      <c r="P40" s="51"/>
    </row>
    <row r="41" spans="1:17" s="4" customFormat="1" ht="12.75" customHeight="1" thickBot="1" x14ac:dyDescent="0.25">
      <c r="A41" s="820">
        <v>31</v>
      </c>
      <c r="B41" s="59" t="s">
        <v>70</v>
      </c>
      <c r="C41" s="56"/>
      <c r="D41" s="422">
        <f>'68.04-PERS.VARSTNICE'!D41+'68.02.05 CUMULAT AP+SF.NIC'!D41+'68.06 centralizat'!D41+'68.15.01-AJ SOC'!D41+'68.15.02-CANTINA'!D41+'68.50.50 rest DAS+CPFA'!D41</f>
        <v>0</v>
      </c>
      <c r="E41" s="422">
        <f>'68.04-PERS.VARSTNICE'!E41+'68.02.05 CUMULAT AP+SF.NIC'!E41+'68.06 centralizat'!E41+'68.15.01-AJ SOC'!E41+'68.15.02-CANTINA'!E41+'68.50.50 rest DAS+CPFA'!E41</f>
        <v>0</v>
      </c>
      <c r="F41" s="422">
        <f>'68.04-PERS.VARSTNICE'!F41+'68.02.05 CUMULAT AP+SF.NIC'!F41+'68.06 centralizat'!F41+'68.15.01-AJ SOC'!F41+'68.15.02-CANTINA'!F41+'68.50.50 rest DAS+CPFA'!F41</f>
        <v>62</v>
      </c>
      <c r="G41" s="422">
        <f>'68.04-PERS.VARSTNICE'!G41+'68.02.05 CUMULAT AP+SF.NIC'!G41+'68.06 centralizat'!G41+'68.15.01-AJ SOC'!G41+'68.15.02-CANTINA'!G41+'68.50.50 rest DAS+CPFA'!G41</f>
        <v>17</v>
      </c>
      <c r="H41" s="422">
        <f>'68.04-PERS.VARSTNICE'!H41+'68.02.05 CUMULAT AP+SF.NIC'!H41+'68.06 centralizat'!H41+'68.15.01-AJ SOC'!H41+'68.15.02-CANTINA'!H41+'68.50.50 rest DAS+CPFA'!H41</f>
        <v>45</v>
      </c>
      <c r="I41" s="422">
        <f>'68.04-PERS.VARSTNICE'!I41+'68.02.05 CUMULAT AP+SF.NIC'!I41+'68.06 centralizat'!I41+'68.15.01-AJ SOC'!I41+'68.15.02-CANTINA'!I41+'68.50.50 rest DAS+CPFA'!I41</f>
        <v>0</v>
      </c>
      <c r="J41" s="422">
        <f>'68.04-PERS.VARSTNICE'!J41+'68.02.05 CUMULAT AP+SF.NIC'!J41+'68.06 centralizat'!J41+'68.15.01-AJ SOC'!J41+'68.15.02-CANTINA'!J41+'68.50.50 rest DAS+CPFA'!J41</f>
        <v>0</v>
      </c>
      <c r="K41" s="250"/>
      <c r="L41" s="91"/>
      <c r="M41" s="780"/>
    </row>
    <row r="42" spans="1:17" s="4" customFormat="1" ht="12.75" hidden="1" customHeight="1" thickBot="1" x14ac:dyDescent="0.25">
      <c r="A42" s="689">
        <v>32</v>
      </c>
      <c r="B42" s="59" t="s">
        <v>71</v>
      </c>
      <c r="C42" s="56"/>
      <c r="D42" s="422">
        <f>'68.04-PERS.VARSTNICE'!D42+'68.02.05 CUMULAT AP+SF.NIC'!D42+'68.06 centralizat'!D42+'68.15.01-AJ SOC'!D42+'68.15.02-CANTINA'!D42+'68.50.50 rest DAS+CPFA'!D42</f>
        <v>0</v>
      </c>
      <c r="E42" s="422">
        <f>'68.04-PERS.VARSTNICE'!E42+'68.02.05 CUMULAT AP+SF.NIC'!E42+'68.06 centralizat'!E42+'68.15.01-AJ SOC'!E42+'68.15.02-CANTINA'!E42+'68.50.50 rest DAS+CPFA'!E42</f>
        <v>0</v>
      </c>
      <c r="F42" s="422">
        <f>'68.04-PERS.VARSTNICE'!F42+'68.02.05 CUMULAT AP+SF.NIC'!F42+'68.06 centralizat'!F42+'68.15.01-AJ SOC'!F42+'68.15.02-CANTINA'!F42+'68.50.50 rest DAS+CPFA'!F42</f>
        <v>0</v>
      </c>
      <c r="G42" s="422">
        <f>'68.04-PERS.VARSTNICE'!G42+'68.02.05 CUMULAT AP+SF.NIC'!G42+'68.06 centralizat'!G42+'68.15.01-AJ SOC'!G42+'68.15.02-CANTINA'!G42+'68.50.50 rest DAS+CPFA'!G42</f>
        <v>0</v>
      </c>
      <c r="H42" s="422">
        <f>'68.04-PERS.VARSTNICE'!H42+'68.02.05 CUMULAT AP+SF.NIC'!H42+'68.06 centralizat'!H42+'68.15.01-AJ SOC'!H42+'68.15.02-CANTINA'!H42+'68.50.50 rest DAS+CPFA'!H42</f>
        <v>0</v>
      </c>
      <c r="I42" s="422">
        <f>'68.04-PERS.VARSTNICE'!I42+'68.02.05 CUMULAT AP+SF.NIC'!I42+'68.06 centralizat'!I42+'68.15.01-AJ SOC'!I42+'68.15.02-CANTINA'!I42+'68.50.50 rest DAS+CPFA'!I42</f>
        <v>0</v>
      </c>
      <c r="J42" s="422">
        <f>'68.04-PERS.VARSTNICE'!J42+'68.02.05 CUMULAT AP+SF.NIC'!J42+'68.06 centralizat'!J42+'68.15.01-AJ SOC'!J42+'68.15.02-CANTINA'!J42+'68.50.50 rest DAS+CPFA'!J42</f>
        <v>0</v>
      </c>
      <c r="K42" s="250"/>
      <c r="L42" s="91"/>
      <c r="M42" s="780"/>
    </row>
    <row r="43" spans="1:17" s="4" customFormat="1" ht="12.75" customHeight="1" thickBot="1" x14ac:dyDescent="0.25">
      <c r="A43" s="820">
        <v>33</v>
      </c>
      <c r="B43" s="59" t="s">
        <v>72</v>
      </c>
      <c r="C43" s="41" t="s">
        <v>73</v>
      </c>
      <c r="D43" s="422">
        <f>'68.04-PERS.VARSTNICE'!D43+'68.02.05 CUMULAT AP+SF.NIC'!D43+'68.06 centralizat'!D43+'68.15.01-AJ SOC'!D43+'68.15.02-CANTINA'!D43+'68.50.50 rest DAS+CPFA'!D43</f>
        <v>0</v>
      </c>
      <c r="E43" s="422">
        <f>'68.04-PERS.VARSTNICE'!E43+'68.02.05 CUMULAT AP+SF.NIC'!E43+'68.06 centralizat'!E43+'68.15.01-AJ SOC'!E43+'68.15.02-CANTINA'!E43+'68.50.50 rest DAS+CPFA'!E43</f>
        <v>0</v>
      </c>
      <c r="F43" s="422">
        <f>'68.04-PERS.VARSTNICE'!F43+'68.02.05 CUMULAT AP+SF.NIC'!F43+'68.06 centralizat'!F43+'68.15.01-AJ SOC'!F43+'68.15.02-CANTINA'!F43+'68.50.50 rest DAS+CPFA'!F43</f>
        <v>1097</v>
      </c>
      <c r="G43" s="422">
        <f>'68.04-PERS.VARSTNICE'!G43+'68.02.05 CUMULAT AP+SF.NIC'!G43+'68.06 centralizat'!G43+'68.15.01-AJ SOC'!G43+'68.15.02-CANTINA'!G43+'68.50.50 rest DAS+CPFA'!G43</f>
        <v>712</v>
      </c>
      <c r="H43" s="422">
        <f>'68.04-PERS.VARSTNICE'!H43+'68.02.05 CUMULAT AP+SF.NIC'!H43+'68.06 centralizat'!H43+'68.15.01-AJ SOC'!H43+'68.15.02-CANTINA'!H43+'68.50.50 rest DAS+CPFA'!H43</f>
        <v>194</v>
      </c>
      <c r="I43" s="422">
        <f>'68.04-PERS.VARSTNICE'!I43+'68.02.05 CUMULAT AP+SF.NIC'!I43+'68.06 centralizat'!I43+'68.15.01-AJ SOC'!I43+'68.15.02-CANTINA'!I43+'68.50.50 rest DAS+CPFA'!I43</f>
        <v>112</v>
      </c>
      <c r="J43" s="422">
        <f>'68.04-PERS.VARSTNICE'!J43+'68.02.05 CUMULAT AP+SF.NIC'!J43+'68.06 centralizat'!J43+'68.15.01-AJ SOC'!J43+'68.15.02-CANTINA'!J43+'68.50.50 rest DAS+CPFA'!J43</f>
        <v>79</v>
      </c>
      <c r="K43" s="250"/>
      <c r="L43" s="91"/>
      <c r="M43" s="780"/>
    </row>
    <row r="44" spans="1:17" s="4" customFormat="1" ht="12.75" customHeight="1" thickBot="1" x14ac:dyDescent="0.25">
      <c r="A44" s="689">
        <v>34</v>
      </c>
      <c r="B44" s="59" t="s">
        <v>74</v>
      </c>
      <c r="C44" s="41" t="s">
        <v>75</v>
      </c>
      <c r="D44" s="422">
        <f>'68.04-PERS.VARSTNICE'!D44+'68.02.05 CUMULAT AP+SF.NIC'!D44+'68.06 centralizat'!D44+'68.15.01-AJ SOC'!D44+'68.15.02-CANTINA'!D44+'68.50.50 rest DAS+CPFA'!D44</f>
        <v>0</v>
      </c>
      <c r="E44" s="422">
        <f>'68.04-PERS.VARSTNICE'!E44+'68.02.05 CUMULAT AP+SF.NIC'!E44+'68.06 centralizat'!E44+'68.15.01-AJ SOC'!E44+'68.15.02-CANTINA'!E44+'68.50.50 rest DAS+CPFA'!E44</f>
        <v>0</v>
      </c>
      <c r="F44" s="422">
        <f>'68.04-PERS.VARSTNICE'!F44+'68.02.05 CUMULAT AP+SF.NIC'!F44+'68.06 centralizat'!F44+'68.15.01-AJ SOC'!F44+'68.15.02-CANTINA'!F44+'68.50.50 rest DAS+CPFA'!F44</f>
        <v>494</v>
      </c>
      <c r="G44" s="422">
        <f>'68.04-PERS.VARSTNICE'!G44+'68.02.05 CUMULAT AP+SF.NIC'!G44+'68.06 centralizat'!G44+'68.15.01-AJ SOC'!G44+'68.15.02-CANTINA'!G44+'68.50.50 rest DAS+CPFA'!G44</f>
        <v>209</v>
      </c>
      <c r="H44" s="422">
        <f>'68.04-PERS.VARSTNICE'!H44+'68.02.05 CUMULAT AP+SF.NIC'!H44+'68.06 centralizat'!H44+'68.15.01-AJ SOC'!H44+'68.15.02-CANTINA'!H44+'68.50.50 rest DAS+CPFA'!H44</f>
        <v>134</v>
      </c>
      <c r="I44" s="422">
        <f>'68.04-PERS.VARSTNICE'!I44+'68.02.05 CUMULAT AP+SF.NIC'!I44+'68.06 centralizat'!I44+'68.15.01-AJ SOC'!I44+'68.15.02-CANTINA'!I44+'68.50.50 rest DAS+CPFA'!I44</f>
        <v>96</v>
      </c>
      <c r="J44" s="422">
        <f>'68.04-PERS.VARSTNICE'!J44+'68.02.05 CUMULAT AP+SF.NIC'!J44+'68.06 centralizat'!J44+'68.15.01-AJ SOC'!J44+'68.15.02-CANTINA'!J44+'68.50.50 rest DAS+CPFA'!J44</f>
        <v>55</v>
      </c>
      <c r="K44" s="250"/>
      <c r="L44" s="91"/>
      <c r="M44" s="780"/>
    </row>
    <row r="45" spans="1:17" s="4" customFormat="1" ht="12.75" customHeight="1" thickBot="1" x14ac:dyDescent="0.25">
      <c r="A45" s="820">
        <v>35</v>
      </c>
      <c r="B45" s="59" t="s">
        <v>76</v>
      </c>
      <c r="C45" s="41" t="s">
        <v>77</v>
      </c>
      <c r="D45" s="422">
        <f>'68.04-PERS.VARSTNICE'!D45+'68.02.05 CUMULAT AP+SF.NIC'!D45+'68.06 centralizat'!D45+'68.15.01-AJ SOC'!D45+'68.15.02-CANTINA'!D45+'68.50.50 rest DAS+CPFA'!D45</f>
        <v>0</v>
      </c>
      <c r="E45" s="422">
        <f>'68.04-PERS.VARSTNICE'!E45+'68.02.05 CUMULAT AP+SF.NIC'!E45+'68.06 centralizat'!E45+'68.15.01-AJ SOC'!E45+'68.15.02-CANTINA'!E45+'68.50.50 rest DAS+CPFA'!E45</f>
        <v>0</v>
      </c>
      <c r="F45" s="422">
        <f>'68.04-PERS.VARSTNICE'!F45+'68.02.05 CUMULAT AP+SF.NIC'!F45+'68.06 centralizat'!F45+'68.15.01-AJ SOC'!F45+'68.15.02-CANTINA'!F45+'68.50.50 rest DAS+CPFA'!F45</f>
        <v>26</v>
      </c>
      <c r="G45" s="422">
        <f>'68.04-PERS.VARSTNICE'!G45+'68.02.05 CUMULAT AP+SF.NIC'!G45+'68.06 centralizat'!G45+'68.15.01-AJ SOC'!G45+'68.15.02-CANTINA'!G45+'68.50.50 rest DAS+CPFA'!G45</f>
        <v>9</v>
      </c>
      <c r="H45" s="422">
        <f>'68.04-PERS.VARSTNICE'!H45+'68.02.05 CUMULAT AP+SF.NIC'!H45+'68.06 centralizat'!H45+'68.15.01-AJ SOC'!H45+'68.15.02-CANTINA'!H45+'68.50.50 rest DAS+CPFA'!H45</f>
        <v>9</v>
      </c>
      <c r="I45" s="422">
        <f>'68.04-PERS.VARSTNICE'!I45+'68.02.05 CUMULAT AP+SF.NIC'!I45+'68.06 centralizat'!I45+'68.15.01-AJ SOC'!I45+'68.15.02-CANTINA'!I45+'68.50.50 rest DAS+CPFA'!I45</f>
        <v>6</v>
      </c>
      <c r="J45" s="422">
        <f>'68.04-PERS.VARSTNICE'!J45+'68.02.05 CUMULAT AP+SF.NIC'!J45+'68.06 centralizat'!J45+'68.15.01-AJ SOC'!J45+'68.15.02-CANTINA'!J45+'68.50.50 rest DAS+CPFA'!J45</f>
        <v>2</v>
      </c>
      <c r="K45" s="250"/>
      <c r="L45" s="91"/>
      <c r="M45" s="780"/>
    </row>
    <row r="46" spans="1:17" s="4" customFormat="1" ht="12.75" hidden="1" customHeight="1" thickBot="1" x14ac:dyDescent="0.25">
      <c r="A46" s="689">
        <v>36</v>
      </c>
      <c r="B46" s="59" t="s">
        <v>78</v>
      </c>
      <c r="C46" s="41" t="s">
        <v>79</v>
      </c>
      <c r="D46" s="422">
        <f>'68.04-PERS.VARSTNICE'!D46+'68.02.05 CUMULAT AP+SF.NIC'!D46+'68.06 centralizat'!D46+'68.15.01-AJ SOC'!D46+'68.15.02-CANTINA'!D46+'68.50.50 rest DAS+CPFA'!D46</f>
        <v>0</v>
      </c>
      <c r="E46" s="422">
        <f>'68.04-PERS.VARSTNICE'!E46+'68.02.05 CUMULAT AP+SF.NIC'!E46+'68.06 centralizat'!E46+'68.15.01-AJ SOC'!E46+'68.15.02-CANTINA'!E46+'68.50.50 rest DAS+CPFA'!E46</f>
        <v>0</v>
      </c>
      <c r="F46" s="422">
        <f>'68.04-PERS.VARSTNICE'!F46+'68.02.05 CUMULAT AP+SF.NIC'!F46+'68.06 centralizat'!F46+'68.15.01-AJ SOC'!F46+'68.15.02-CANTINA'!F46+'68.50.50 rest DAS+CPFA'!F46</f>
        <v>0</v>
      </c>
      <c r="G46" s="422">
        <f>'68.04-PERS.VARSTNICE'!G46+'68.02.05 CUMULAT AP+SF.NIC'!G46+'68.06 centralizat'!G46+'68.15.01-AJ SOC'!G46+'68.15.02-CANTINA'!G46+'68.50.50 rest DAS+CPFA'!G46</f>
        <v>0</v>
      </c>
      <c r="H46" s="422">
        <f>'68.04-PERS.VARSTNICE'!H46+'68.02.05 CUMULAT AP+SF.NIC'!H46+'68.06 centralizat'!H46+'68.15.01-AJ SOC'!H46+'68.15.02-CANTINA'!H46+'68.50.50 rest DAS+CPFA'!H46</f>
        <v>0</v>
      </c>
      <c r="I46" s="422">
        <f>'68.04-PERS.VARSTNICE'!I46+'68.02.05 CUMULAT AP+SF.NIC'!I46+'68.06 centralizat'!I46+'68.15.01-AJ SOC'!I46+'68.15.02-CANTINA'!I46+'68.50.50 rest DAS+CPFA'!I46</f>
        <v>0</v>
      </c>
      <c r="J46" s="422">
        <f>'68.04-PERS.VARSTNICE'!J46+'68.02.05 CUMULAT AP+SF.NIC'!J46+'68.06 centralizat'!J46+'68.15.01-AJ SOC'!J46+'68.15.02-CANTINA'!J46+'68.50.50 rest DAS+CPFA'!J46</f>
        <v>0</v>
      </c>
      <c r="K46" s="250"/>
      <c r="L46" s="91"/>
      <c r="M46" s="780"/>
    </row>
    <row r="47" spans="1:17" s="4" customFormat="1" ht="12.75" customHeight="1" thickBot="1" x14ac:dyDescent="0.25">
      <c r="A47" s="820">
        <v>37</v>
      </c>
      <c r="B47" s="59" t="s">
        <v>80</v>
      </c>
      <c r="C47" s="41" t="s">
        <v>81</v>
      </c>
      <c r="D47" s="422">
        <f>'68.04-PERS.VARSTNICE'!D47+'68.02.05 CUMULAT AP+SF.NIC'!D47+'68.06 centralizat'!D47+'68.15.01-AJ SOC'!D47+'68.15.02-CANTINA'!D47+'68.50.50 rest DAS+CPFA'!D47</f>
        <v>0</v>
      </c>
      <c r="E47" s="422">
        <f>'68.04-PERS.VARSTNICE'!E47+'68.02.05 CUMULAT AP+SF.NIC'!E47+'68.06 centralizat'!E47+'68.15.01-AJ SOC'!E47+'68.15.02-CANTINA'!E47+'68.50.50 rest DAS+CPFA'!E47</f>
        <v>0</v>
      </c>
      <c r="F47" s="422">
        <f>'68.04-PERS.VARSTNICE'!F47+'68.02.05 CUMULAT AP+SF.NIC'!F47+'68.06 centralizat'!F47+'68.15.01-AJ SOC'!F47+'68.15.02-CANTINA'!F47+'68.50.50 rest DAS+CPFA'!F47</f>
        <v>254</v>
      </c>
      <c r="G47" s="422">
        <f>'68.04-PERS.VARSTNICE'!G47+'68.02.05 CUMULAT AP+SF.NIC'!G47+'68.06 centralizat'!G47+'68.15.01-AJ SOC'!G47+'68.15.02-CANTINA'!G47+'68.50.50 rest DAS+CPFA'!G47</f>
        <v>72</v>
      </c>
      <c r="H47" s="422">
        <f>'68.04-PERS.VARSTNICE'!H47+'68.02.05 CUMULAT AP+SF.NIC'!H47+'68.06 centralizat'!H47+'68.15.01-AJ SOC'!H47+'68.15.02-CANTINA'!H47+'68.50.50 rest DAS+CPFA'!H47</f>
        <v>69</v>
      </c>
      <c r="I47" s="422">
        <f>'68.04-PERS.VARSTNICE'!I47+'68.02.05 CUMULAT AP+SF.NIC'!I47+'68.06 centralizat'!I47+'68.15.01-AJ SOC'!I47+'68.15.02-CANTINA'!I47+'68.50.50 rest DAS+CPFA'!I47</f>
        <v>59</v>
      </c>
      <c r="J47" s="422">
        <f>'68.04-PERS.VARSTNICE'!J47+'68.02.05 CUMULAT AP+SF.NIC'!J47+'68.06 centralizat'!J47+'68.15.01-AJ SOC'!J47+'68.15.02-CANTINA'!J47+'68.50.50 rest DAS+CPFA'!J47</f>
        <v>54</v>
      </c>
      <c r="K47" s="250"/>
      <c r="L47" s="91"/>
      <c r="M47" s="780"/>
    </row>
    <row r="48" spans="1:17" s="4" customFormat="1" ht="12.75" customHeight="1" thickBot="1" x14ac:dyDescent="0.25">
      <c r="A48" s="689">
        <v>38</v>
      </c>
      <c r="B48" s="59" t="s">
        <v>80</v>
      </c>
      <c r="C48" s="41"/>
      <c r="D48" s="422">
        <f>'68.04-PERS.VARSTNICE'!D48+'68.02.05 CUMULAT AP+SF.NIC'!D48+'68.06 centralizat'!D48+'68.15.01-AJ SOC'!D48+'68.15.02-CANTINA'!D48+'68.50.50 rest DAS+CPFA'!D48</f>
        <v>0</v>
      </c>
      <c r="E48" s="422">
        <f>'68.04-PERS.VARSTNICE'!E48+'68.02.05 CUMULAT AP+SF.NIC'!E48+'68.06 centralizat'!E48+'68.15.01-AJ SOC'!E48+'68.15.02-CANTINA'!E48+'68.50.50 rest DAS+CPFA'!E48</f>
        <v>0</v>
      </c>
      <c r="F48" s="422">
        <f>'68.04-PERS.VARSTNICE'!F48+'68.02.05 CUMULAT AP+SF.NIC'!F48+'68.06 centralizat'!F48+'68.15.01-AJ SOC'!F48+'68.15.02-CANTINA'!F48+'68.50.50 rest DAS+CPFA'!F48</f>
        <v>75</v>
      </c>
      <c r="G48" s="422">
        <f>'68.04-PERS.VARSTNICE'!G48+'68.02.05 CUMULAT AP+SF.NIC'!G48+'68.06 centralizat'!G48+'68.15.01-AJ SOC'!G48+'68.15.02-CANTINA'!G48+'68.50.50 rest DAS+CPFA'!G48</f>
        <v>26</v>
      </c>
      <c r="H48" s="422">
        <f>'68.04-PERS.VARSTNICE'!H48+'68.02.05 CUMULAT AP+SF.NIC'!H48+'68.06 centralizat'!H48+'68.15.01-AJ SOC'!H48+'68.15.02-CANTINA'!H48+'68.50.50 rest DAS+CPFA'!H48</f>
        <v>24</v>
      </c>
      <c r="I48" s="422">
        <f>'68.04-PERS.VARSTNICE'!I48+'68.02.05 CUMULAT AP+SF.NIC'!I48+'68.06 centralizat'!I48+'68.15.01-AJ SOC'!I48+'68.15.02-CANTINA'!I48+'68.50.50 rest DAS+CPFA'!I48</f>
        <v>15</v>
      </c>
      <c r="J48" s="422">
        <f>'68.04-PERS.VARSTNICE'!J48+'68.02.05 CUMULAT AP+SF.NIC'!J48+'68.06 centralizat'!J48+'68.15.01-AJ SOC'!J48+'68.15.02-CANTINA'!J48+'68.50.50 rest DAS+CPFA'!J48</f>
        <v>10</v>
      </c>
      <c r="K48" s="250"/>
      <c r="L48" s="91"/>
      <c r="M48" s="780"/>
    </row>
    <row r="49" spans="1:13" s="4" customFormat="1" ht="12.75" customHeight="1" thickBot="1" x14ac:dyDescent="0.25">
      <c r="A49" s="820">
        <v>39</v>
      </c>
      <c r="B49" s="59" t="s">
        <v>292</v>
      </c>
      <c r="C49" s="41"/>
      <c r="D49" s="422">
        <f>'68.04-PERS.VARSTNICE'!D49+'68.02.05 CUMULAT AP+SF.NIC'!D49+'68.06 centralizat'!D49+'68.15.01-AJ SOC'!D49+'68.15.02-CANTINA'!D49+'68.50.50 rest DAS+CPFA'!D49</f>
        <v>0</v>
      </c>
      <c r="E49" s="422">
        <f>'68.04-PERS.VARSTNICE'!E49+'68.02.05 CUMULAT AP+SF.NIC'!E49+'68.06 centralizat'!E49+'68.15.01-AJ SOC'!E49+'68.15.02-CANTINA'!E49+'68.50.50 rest DAS+CPFA'!E49</f>
        <v>0</v>
      </c>
      <c r="F49" s="422">
        <f>'68.04-PERS.VARSTNICE'!F49+'68.02.05 CUMULAT AP+SF.NIC'!F49+'68.06 centralizat'!F49+'68.15.01-AJ SOC'!F49+'68.15.02-CANTINA'!F49+'68.50.50 rest DAS+CPFA'!F49</f>
        <v>179</v>
      </c>
      <c r="G49" s="422">
        <f>'68.04-PERS.VARSTNICE'!G49+'68.02.05 CUMULAT AP+SF.NIC'!G49+'68.06 centralizat'!G49+'68.15.01-AJ SOC'!G49+'68.15.02-CANTINA'!G49+'68.50.50 rest DAS+CPFA'!G49</f>
        <v>46</v>
      </c>
      <c r="H49" s="422">
        <f>'68.04-PERS.VARSTNICE'!H49+'68.02.05 CUMULAT AP+SF.NIC'!H49+'68.06 centralizat'!H49+'68.15.01-AJ SOC'!H49+'68.15.02-CANTINA'!H49+'68.50.50 rest DAS+CPFA'!H49</f>
        <v>45</v>
      </c>
      <c r="I49" s="422">
        <f>'68.04-PERS.VARSTNICE'!I49+'68.02.05 CUMULAT AP+SF.NIC'!I49+'68.06 centralizat'!I49+'68.15.01-AJ SOC'!I49+'68.15.02-CANTINA'!I49+'68.50.50 rest DAS+CPFA'!I49</f>
        <v>44</v>
      </c>
      <c r="J49" s="422">
        <f>'68.04-PERS.VARSTNICE'!J49+'68.02.05 CUMULAT AP+SF.NIC'!J49+'68.06 centralizat'!J49+'68.15.01-AJ SOC'!J49+'68.15.02-CANTINA'!J49+'68.50.50 rest DAS+CPFA'!J49</f>
        <v>44</v>
      </c>
      <c r="K49" s="250"/>
      <c r="L49" s="91"/>
      <c r="M49" s="780"/>
    </row>
    <row r="50" spans="1:13" s="4" customFormat="1" ht="12.75" customHeight="1" thickBot="1" x14ac:dyDescent="0.25">
      <c r="A50" s="689">
        <v>40</v>
      </c>
      <c r="B50" s="73" t="s">
        <v>83</v>
      </c>
      <c r="C50" s="56" t="s">
        <v>84</v>
      </c>
      <c r="D50" s="422">
        <f>'68.04-PERS.VARSTNICE'!D50+'68.02.05 CUMULAT AP+SF.NIC'!D50+'68.06 centralizat'!D50+'68.15.01-AJ SOC'!D50+'68.15.02-CANTINA'!D50+'68.50.50 rest DAS+CPFA'!D50</f>
        <v>0</v>
      </c>
      <c r="E50" s="422">
        <f>'68.04-PERS.VARSTNICE'!E50+'68.02.05 CUMULAT AP+SF.NIC'!E50+'68.06 centralizat'!E50+'68.15.01-AJ SOC'!E50+'68.15.02-CANTINA'!E50+'68.50.50 rest DAS+CPFA'!E50</f>
        <v>0</v>
      </c>
      <c r="F50" s="422">
        <f>'68.04-PERS.VARSTNICE'!F50+'68.02.05 CUMULAT AP+SF.NIC'!F50+'68.06 centralizat'!F50+'68.15.01-AJ SOC'!F50+'68.15.02-CANTINA'!F50+'68.50.50 rest DAS+CPFA'!F50</f>
        <v>217</v>
      </c>
      <c r="G50" s="422">
        <f>'68.04-PERS.VARSTNICE'!G50+'68.02.05 CUMULAT AP+SF.NIC'!G50+'68.06 centralizat'!G50+'68.15.01-AJ SOC'!G50+'68.15.02-CANTINA'!G50+'68.50.50 rest DAS+CPFA'!G50</f>
        <v>153</v>
      </c>
      <c r="H50" s="422">
        <f>'68.04-PERS.VARSTNICE'!H50+'68.02.05 CUMULAT AP+SF.NIC'!H50+'68.06 centralizat'!H50+'68.15.01-AJ SOC'!H50+'68.15.02-CANTINA'!H50+'68.50.50 rest DAS+CPFA'!H50</f>
        <v>62</v>
      </c>
      <c r="I50" s="422">
        <f>'68.04-PERS.VARSTNICE'!I50+'68.02.05 CUMULAT AP+SF.NIC'!I50+'68.06 centralizat'!I50+'68.15.01-AJ SOC'!I50+'68.15.02-CANTINA'!I50+'68.50.50 rest DAS+CPFA'!I50</f>
        <v>1</v>
      </c>
      <c r="J50" s="422">
        <f>'68.04-PERS.VARSTNICE'!J50+'68.02.05 CUMULAT AP+SF.NIC'!J50+'68.06 centralizat'!J50+'68.15.01-AJ SOC'!J50+'68.15.02-CANTINA'!J50+'68.50.50 rest DAS+CPFA'!J50</f>
        <v>1</v>
      </c>
      <c r="K50" s="250"/>
      <c r="L50" s="91"/>
      <c r="M50" s="780"/>
    </row>
    <row r="51" spans="1:13" s="4" customFormat="1" ht="12.75" customHeight="1" thickBot="1" x14ac:dyDescent="0.25">
      <c r="A51" s="820">
        <v>41</v>
      </c>
      <c r="B51" s="74" t="s">
        <v>83</v>
      </c>
      <c r="C51" s="41"/>
      <c r="D51" s="422">
        <f>'68.04-PERS.VARSTNICE'!D51+'68.02.05 CUMULAT AP+SF.NIC'!D51+'68.06 centralizat'!D51+'68.15.01-AJ SOC'!D51+'68.15.02-CANTINA'!D51+'68.50.50 rest DAS+CPFA'!D51</f>
        <v>0</v>
      </c>
      <c r="E51" s="422">
        <f>'68.04-PERS.VARSTNICE'!E51+'68.02.05 CUMULAT AP+SF.NIC'!E51+'68.06 centralizat'!E51+'68.15.01-AJ SOC'!E51+'68.15.02-CANTINA'!E51+'68.50.50 rest DAS+CPFA'!E51</f>
        <v>0</v>
      </c>
      <c r="F51" s="422">
        <f>'68.04-PERS.VARSTNICE'!F51+'68.02.05 CUMULAT AP+SF.NIC'!F51+'68.06 centralizat'!F51+'68.15.01-AJ SOC'!F51+'68.15.02-CANTINA'!F51+'68.50.50 rest DAS+CPFA'!F51</f>
        <v>212</v>
      </c>
      <c r="G51" s="422">
        <f>'68.04-PERS.VARSTNICE'!G51+'68.02.05 CUMULAT AP+SF.NIC'!G51+'68.06 centralizat'!G51+'68.15.01-AJ SOC'!G51+'68.15.02-CANTINA'!G51+'68.50.50 rest DAS+CPFA'!G51</f>
        <v>148</v>
      </c>
      <c r="H51" s="422">
        <f>'68.04-PERS.VARSTNICE'!H51+'68.02.05 CUMULAT AP+SF.NIC'!H51+'68.06 centralizat'!H51+'68.15.01-AJ SOC'!H51+'68.15.02-CANTINA'!H51+'68.50.50 rest DAS+CPFA'!H51</f>
        <v>62</v>
      </c>
      <c r="I51" s="422">
        <f>'68.04-PERS.VARSTNICE'!I51+'68.02.05 CUMULAT AP+SF.NIC'!I51+'68.06 centralizat'!I51+'68.15.01-AJ SOC'!I51+'68.15.02-CANTINA'!I51+'68.50.50 rest DAS+CPFA'!I51</f>
        <v>1</v>
      </c>
      <c r="J51" s="422">
        <f>'68.04-PERS.VARSTNICE'!J51+'68.02.05 CUMULAT AP+SF.NIC'!J51+'68.06 centralizat'!J51+'68.15.01-AJ SOC'!J51+'68.15.02-CANTINA'!J51+'68.50.50 rest DAS+CPFA'!J51</f>
        <v>1</v>
      </c>
      <c r="K51" s="250"/>
      <c r="L51" s="91"/>
      <c r="M51" s="780"/>
    </row>
    <row r="52" spans="1:13" s="4" customFormat="1" ht="12.75" customHeight="1" thickBot="1" x14ac:dyDescent="0.25">
      <c r="A52" s="689">
        <v>42</v>
      </c>
      <c r="B52" s="74" t="s">
        <v>85</v>
      </c>
      <c r="C52" s="41"/>
      <c r="D52" s="422">
        <f>'68.04-PERS.VARSTNICE'!D52+'68.02.05 CUMULAT AP+SF.NIC'!D52+'68.06 centralizat'!D52+'68.15.01-AJ SOC'!D52+'68.15.02-CANTINA'!D52+'68.50.50 rest DAS+CPFA'!D52</f>
        <v>0</v>
      </c>
      <c r="E52" s="422">
        <f>'68.04-PERS.VARSTNICE'!E52+'68.02.05 CUMULAT AP+SF.NIC'!E52+'68.06 centralizat'!E52+'68.15.01-AJ SOC'!E52+'68.15.02-CANTINA'!E52+'68.50.50 rest DAS+CPFA'!E52</f>
        <v>0</v>
      </c>
      <c r="F52" s="422">
        <f>'68.04-PERS.VARSTNICE'!F52+'68.02.05 CUMULAT AP+SF.NIC'!F52+'68.06 centralizat'!F52+'68.15.01-AJ SOC'!F52+'68.15.02-CANTINA'!F52+'68.50.50 rest DAS+CPFA'!F52</f>
        <v>5</v>
      </c>
      <c r="G52" s="422">
        <f>'68.04-PERS.VARSTNICE'!G52+'68.02.05 CUMULAT AP+SF.NIC'!G52+'68.06 centralizat'!G52+'68.15.01-AJ SOC'!G52+'68.15.02-CANTINA'!G52+'68.50.50 rest DAS+CPFA'!G52</f>
        <v>5</v>
      </c>
      <c r="H52" s="422">
        <f>'68.04-PERS.VARSTNICE'!H52+'68.02.05 CUMULAT AP+SF.NIC'!H52+'68.06 centralizat'!H52+'68.15.01-AJ SOC'!H52+'68.15.02-CANTINA'!H52+'68.50.50 rest DAS+CPFA'!H52</f>
        <v>0</v>
      </c>
      <c r="I52" s="422">
        <f>'68.04-PERS.VARSTNICE'!I52+'68.02.05 CUMULAT AP+SF.NIC'!I52+'68.06 centralizat'!I52+'68.15.01-AJ SOC'!I52+'68.15.02-CANTINA'!I52+'68.50.50 rest DAS+CPFA'!I52</f>
        <v>0</v>
      </c>
      <c r="J52" s="422">
        <f>'68.04-PERS.VARSTNICE'!J52+'68.02.05 CUMULAT AP+SF.NIC'!J52+'68.06 centralizat'!J52+'68.15.01-AJ SOC'!J52+'68.15.02-CANTINA'!J52+'68.50.50 rest DAS+CPFA'!J52</f>
        <v>0</v>
      </c>
      <c r="K52" s="250"/>
      <c r="L52" s="91"/>
      <c r="M52" s="780"/>
    </row>
    <row r="53" spans="1:13" s="4" customFormat="1" ht="12.75" customHeight="1" thickBot="1" x14ac:dyDescent="0.25">
      <c r="A53" s="820">
        <v>43</v>
      </c>
      <c r="B53" s="55" t="s">
        <v>86</v>
      </c>
      <c r="C53" s="56" t="s">
        <v>87</v>
      </c>
      <c r="D53" s="422">
        <f>'68.04-PERS.VARSTNICE'!D53+'68.02.05 CUMULAT AP+SF.NIC'!D53+'68.06 centralizat'!D53+'68.15.01-AJ SOC'!D53+'68.15.02-CANTINA'!D53+'68.50.50 rest DAS+CPFA'!D53</f>
        <v>0</v>
      </c>
      <c r="E53" s="422">
        <f>'68.04-PERS.VARSTNICE'!E53+'68.02.05 CUMULAT AP+SF.NIC'!E53+'68.06 centralizat'!E53+'68.15.01-AJ SOC'!E53+'68.15.02-CANTINA'!E53+'68.50.50 rest DAS+CPFA'!E53</f>
        <v>0</v>
      </c>
      <c r="F53" s="422">
        <f>'68.04-PERS.VARSTNICE'!F53+'68.02.05 CUMULAT AP+SF.NIC'!F53+'68.06 centralizat'!F53+'68.15.01-AJ SOC'!F53+'68.15.02-CANTINA'!F53+'68.50.50 rest DAS+CPFA'!F53</f>
        <v>957</v>
      </c>
      <c r="G53" s="422">
        <f>'68.04-PERS.VARSTNICE'!G53+'68.02.05 CUMULAT AP+SF.NIC'!G53+'68.06 centralizat'!G53+'68.15.01-AJ SOC'!G53+'68.15.02-CANTINA'!G53+'68.50.50 rest DAS+CPFA'!G53</f>
        <v>386</v>
      </c>
      <c r="H53" s="422">
        <f>'68.04-PERS.VARSTNICE'!H53+'68.02.05 CUMULAT AP+SF.NIC'!H53+'68.06 centralizat'!H53+'68.15.01-AJ SOC'!H53+'68.15.02-CANTINA'!H53+'68.50.50 rest DAS+CPFA'!H53</f>
        <v>301</v>
      </c>
      <c r="I53" s="422">
        <f>'68.04-PERS.VARSTNICE'!I53+'68.02.05 CUMULAT AP+SF.NIC'!I53+'68.06 centralizat'!I53+'68.15.01-AJ SOC'!I53+'68.15.02-CANTINA'!I53+'68.50.50 rest DAS+CPFA'!I53</f>
        <v>192</v>
      </c>
      <c r="J53" s="422">
        <f>'68.04-PERS.VARSTNICE'!J53+'68.02.05 CUMULAT AP+SF.NIC'!J53+'68.06 centralizat'!J53+'68.15.01-AJ SOC'!J53+'68.15.02-CANTINA'!J53+'68.50.50 rest DAS+CPFA'!J53</f>
        <v>78</v>
      </c>
      <c r="K53" s="250"/>
      <c r="L53" s="91"/>
      <c r="M53" s="780"/>
    </row>
    <row r="54" spans="1:13" s="4" customFormat="1" ht="12.75" customHeight="1" thickBot="1" x14ac:dyDescent="0.25">
      <c r="A54" s="689">
        <v>44</v>
      </c>
      <c r="B54" s="59" t="s">
        <v>88</v>
      </c>
      <c r="C54" s="41"/>
      <c r="D54" s="422">
        <f>'68.04-PERS.VARSTNICE'!D54+'68.02.05 CUMULAT AP+SF.NIC'!D54+'68.06 centralizat'!D54+'68.15.01-AJ SOC'!D54+'68.15.02-CANTINA'!D54+'68.50.50 rest DAS+CPFA'!D54</f>
        <v>0</v>
      </c>
      <c r="E54" s="422">
        <f>'68.04-PERS.VARSTNICE'!E54+'68.02.05 CUMULAT AP+SF.NIC'!E54+'68.06 centralizat'!E54+'68.15.01-AJ SOC'!E54+'68.15.02-CANTINA'!E54+'68.50.50 rest DAS+CPFA'!E54</f>
        <v>0</v>
      </c>
      <c r="F54" s="422">
        <f>'68.04-PERS.VARSTNICE'!F54+'68.02.05 CUMULAT AP+SF.NIC'!F54+'68.06 centralizat'!F54+'68.15.01-AJ SOC'!F54+'68.15.02-CANTINA'!F54+'68.50.50 rest DAS+CPFA'!F54</f>
        <v>753</v>
      </c>
      <c r="G54" s="422">
        <f>'68.04-PERS.VARSTNICE'!G54+'68.02.05 CUMULAT AP+SF.NIC'!G54+'68.06 centralizat'!G54+'68.15.01-AJ SOC'!G54+'68.15.02-CANTINA'!G54+'68.50.50 rest DAS+CPFA'!G54</f>
        <v>263</v>
      </c>
      <c r="H54" s="422">
        <f>'68.04-PERS.VARSTNICE'!H54+'68.02.05 CUMULAT AP+SF.NIC'!H54+'68.06 centralizat'!H54+'68.15.01-AJ SOC'!H54+'68.15.02-CANTINA'!H54+'68.50.50 rest DAS+CPFA'!H54</f>
        <v>220</v>
      </c>
      <c r="I54" s="422">
        <f>'68.04-PERS.VARSTNICE'!I54+'68.02.05 CUMULAT AP+SF.NIC'!I54+'68.06 centralizat'!I54+'68.15.01-AJ SOC'!I54+'68.15.02-CANTINA'!I54+'68.50.50 rest DAS+CPFA'!I54</f>
        <v>192</v>
      </c>
      <c r="J54" s="422">
        <f>'68.04-PERS.VARSTNICE'!J54+'68.02.05 CUMULAT AP+SF.NIC'!J54+'68.06 centralizat'!J54+'68.15.01-AJ SOC'!J54+'68.15.02-CANTINA'!J54+'68.50.50 rest DAS+CPFA'!J54</f>
        <v>78</v>
      </c>
      <c r="K54" s="250"/>
      <c r="L54" s="91"/>
      <c r="M54" s="780"/>
    </row>
    <row r="55" spans="1:13" s="4" customFormat="1" ht="12.75" customHeight="1" thickBot="1" x14ac:dyDescent="0.25">
      <c r="A55" s="820">
        <v>45</v>
      </c>
      <c r="B55" s="59" t="s">
        <v>89</v>
      </c>
      <c r="C55" s="41"/>
      <c r="D55" s="422">
        <f>'68.04-PERS.VARSTNICE'!D55+'68.02.05 CUMULAT AP+SF.NIC'!D55+'68.06 centralizat'!D55+'68.15.01-AJ SOC'!D55+'68.15.02-CANTINA'!D55+'68.50.50 rest DAS+CPFA'!D55</f>
        <v>0</v>
      </c>
      <c r="E55" s="422">
        <f>'68.04-PERS.VARSTNICE'!E55+'68.02.05 CUMULAT AP+SF.NIC'!E55+'68.06 centralizat'!E55+'68.15.01-AJ SOC'!E55+'68.15.02-CANTINA'!E55+'68.50.50 rest DAS+CPFA'!E55</f>
        <v>0</v>
      </c>
      <c r="F55" s="422">
        <f>'68.04-PERS.VARSTNICE'!F55+'68.02.05 CUMULAT AP+SF.NIC'!F55+'68.06 centralizat'!F55+'68.15.01-AJ SOC'!F55+'68.15.02-CANTINA'!F55+'68.50.50 rest DAS+CPFA'!F55</f>
        <v>204</v>
      </c>
      <c r="G55" s="422">
        <f>'68.04-PERS.VARSTNICE'!G55+'68.02.05 CUMULAT AP+SF.NIC'!G55+'68.06 centralizat'!G55+'68.15.01-AJ SOC'!G55+'68.15.02-CANTINA'!G55+'68.50.50 rest DAS+CPFA'!G55</f>
        <v>123</v>
      </c>
      <c r="H55" s="422">
        <f>'68.04-PERS.VARSTNICE'!H55+'68.02.05 CUMULAT AP+SF.NIC'!H55+'68.06 centralizat'!H55+'68.15.01-AJ SOC'!H55+'68.15.02-CANTINA'!H55+'68.50.50 rest DAS+CPFA'!H55</f>
        <v>81</v>
      </c>
      <c r="I55" s="422">
        <f>'68.04-PERS.VARSTNICE'!I55+'68.02.05 CUMULAT AP+SF.NIC'!I55+'68.06 centralizat'!I55+'68.15.01-AJ SOC'!I55+'68.15.02-CANTINA'!I55+'68.50.50 rest DAS+CPFA'!I55</f>
        <v>0</v>
      </c>
      <c r="J55" s="422">
        <f>'68.04-PERS.VARSTNICE'!J55+'68.02.05 CUMULAT AP+SF.NIC'!J55+'68.06 centralizat'!J55+'68.15.01-AJ SOC'!J55+'68.15.02-CANTINA'!J55+'68.50.50 rest DAS+CPFA'!J55</f>
        <v>0</v>
      </c>
      <c r="K55" s="250"/>
      <c r="L55" s="91"/>
      <c r="M55" s="780"/>
    </row>
    <row r="56" spans="1:13" s="4" customFormat="1" ht="12.75" hidden="1" customHeight="1" thickBot="1" x14ac:dyDescent="0.25">
      <c r="A56" s="689">
        <v>46</v>
      </c>
      <c r="B56" s="59" t="s">
        <v>293</v>
      </c>
      <c r="C56" s="41"/>
      <c r="D56" s="422">
        <f>'68.04-PERS.VARSTNICE'!D56+'68.02.05 CUMULAT AP+SF.NIC'!D56+'68.06 centralizat'!D56+'68.15.01-AJ SOC'!D56+'68.15.02-CANTINA'!D56+'68.50.50 rest DAS+CPFA'!D56</f>
        <v>0</v>
      </c>
      <c r="E56" s="422">
        <f>'68.04-PERS.VARSTNICE'!E56+'68.02.05 CUMULAT AP+SF.NIC'!E56+'68.06 centralizat'!E56+'68.15.01-AJ SOC'!E56+'68.15.02-CANTINA'!E56+'68.50.50 rest DAS+CPFA'!E56</f>
        <v>0</v>
      </c>
      <c r="F56" s="422">
        <f>'68.04-PERS.VARSTNICE'!F56+'68.02.05 CUMULAT AP+SF.NIC'!F56+'68.06 centralizat'!F56+'68.15.01-AJ SOC'!F56+'68.15.02-CANTINA'!F56+'68.50.50 rest DAS+CPFA'!F56</f>
        <v>0</v>
      </c>
      <c r="G56" s="422">
        <f>'68.04-PERS.VARSTNICE'!G56+'68.02.05 CUMULAT AP+SF.NIC'!G56+'68.06 centralizat'!G56+'68.15.01-AJ SOC'!G56+'68.15.02-CANTINA'!G56+'68.50.50 rest DAS+CPFA'!G56</f>
        <v>0</v>
      </c>
      <c r="H56" s="422">
        <f>'68.04-PERS.VARSTNICE'!H56+'68.02.05 CUMULAT AP+SF.NIC'!H56+'68.06 centralizat'!H56+'68.15.01-AJ SOC'!H56+'68.15.02-CANTINA'!H56+'68.50.50 rest DAS+CPFA'!H56</f>
        <v>0</v>
      </c>
      <c r="I56" s="422">
        <f>'68.04-PERS.VARSTNICE'!I56+'68.02.05 CUMULAT AP+SF.NIC'!I56+'68.06 centralizat'!I56+'68.15.01-AJ SOC'!I56+'68.15.02-CANTINA'!I56+'68.50.50 rest DAS+CPFA'!I56</f>
        <v>0</v>
      </c>
      <c r="J56" s="422">
        <f>'68.04-PERS.VARSTNICE'!J56+'68.02.05 CUMULAT AP+SF.NIC'!J56+'68.06 centralizat'!J56+'68.15.01-AJ SOC'!J56+'68.15.02-CANTINA'!J56+'68.50.50 rest DAS+CPFA'!J56</f>
        <v>0</v>
      </c>
      <c r="K56" s="104"/>
      <c r="L56" s="103"/>
      <c r="M56" s="781"/>
    </row>
    <row r="57" spans="1:13" s="4" customFormat="1" ht="12.75" customHeight="1" thickBot="1" x14ac:dyDescent="0.25">
      <c r="A57" s="820">
        <v>47</v>
      </c>
      <c r="B57" s="55" t="s">
        <v>91</v>
      </c>
      <c r="C57" s="75" t="s">
        <v>92</v>
      </c>
      <c r="D57" s="422">
        <f>'68.04-PERS.VARSTNICE'!D57+'68.02.05 CUMULAT AP+SF.NIC'!D57+'68.06 centralizat'!D57+'68.15.01-AJ SOC'!D57+'68.15.02-CANTINA'!D57+'68.50.50 rest DAS+CPFA'!D57</f>
        <v>0</v>
      </c>
      <c r="E57" s="422">
        <f>'68.04-PERS.VARSTNICE'!E57+'68.02.05 CUMULAT AP+SF.NIC'!E57+'68.06 centralizat'!E57+'68.15.01-AJ SOC'!E57+'68.15.02-CANTINA'!E57+'68.50.50 rest DAS+CPFA'!E57</f>
        <v>0</v>
      </c>
      <c r="F57" s="422">
        <f>'68.04-PERS.VARSTNICE'!F57+'68.02.05 CUMULAT AP+SF.NIC'!F57+'68.06 centralizat'!F57+'68.15.01-AJ SOC'!F57+'68.15.02-CANTINA'!F57+'68.50.50 rest DAS+CPFA'!F57</f>
        <v>193</v>
      </c>
      <c r="G57" s="422">
        <f>'68.04-PERS.VARSTNICE'!G57+'68.02.05 CUMULAT AP+SF.NIC'!G57+'68.06 centralizat'!G57+'68.15.01-AJ SOC'!G57+'68.15.02-CANTINA'!G57+'68.50.50 rest DAS+CPFA'!G57</f>
        <v>93</v>
      </c>
      <c r="H57" s="422">
        <f>'68.04-PERS.VARSTNICE'!H57+'68.02.05 CUMULAT AP+SF.NIC'!H57+'68.06 centralizat'!H57+'68.15.01-AJ SOC'!H57+'68.15.02-CANTINA'!H57+'68.50.50 rest DAS+CPFA'!H57</f>
        <v>100</v>
      </c>
      <c r="I57" s="422">
        <f>'68.04-PERS.VARSTNICE'!I57+'68.02.05 CUMULAT AP+SF.NIC'!I57+'68.06 centralizat'!I57+'68.15.01-AJ SOC'!I57+'68.15.02-CANTINA'!I57+'68.50.50 rest DAS+CPFA'!I57</f>
        <v>0</v>
      </c>
      <c r="J57" s="422">
        <f>'68.04-PERS.VARSTNICE'!J57+'68.02.05 CUMULAT AP+SF.NIC'!J57+'68.06 centralizat'!J57+'68.15.01-AJ SOC'!J57+'68.15.02-CANTINA'!J57+'68.50.50 rest DAS+CPFA'!J57</f>
        <v>0</v>
      </c>
      <c r="K57" s="104"/>
      <c r="L57" s="103"/>
      <c r="M57" s="781"/>
    </row>
    <row r="58" spans="1:13" s="4" customFormat="1" ht="12.75" customHeight="1" thickBot="1" x14ac:dyDescent="0.25">
      <c r="A58" s="689">
        <v>48</v>
      </c>
      <c r="B58" s="74" t="s">
        <v>93</v>
      </c>
      <c r="C58" s="56" t="s">
        <v>94</v>
      </c>
      <c r="D58" s="422">
        <f>'68.04-PERS.VARSTNICE'!D58+'68.02.05 CUMULAT AP+SF.NIC'!D58+'68.06 centralizat'!D58+'68.15.01-AJ SOC'!D58+'68.15.02-CANTINA'!D58+'68.50.50 rest DAS+CPFA'!D58</f>
        <v>0</v>
      </c>
      <c r="E58" s="422">
        <f>'68.04-PERS.VARSTNICE'!E58+'68.02.05 CUMULAT AP+SF.NIC'!E58+'68.06 centralizat'!E58+'68.15.01-AJ SOC'!E58+'68.15.02-CANTINA'!E58+'68.50.50 rest DAS+CPFA'!E58</f>
        <v>0</v>
      </c>
      <c r="F58" s="422">
        <f>'68.04-PERS.VARSTNICE'!F58+'68.02.05 CUMULAT AP+SF.NIC'!F58+'68.06 centralizat'!F58+'68.15.01-AJ SOC'!F58+'68.15.02-CANTINA'!F58+'68.50.50 rest DAS+CPFA'!F58</f>
        <v>964</v>
      </c>
      <c r="G58" s="422">
        <f>'68.04-PERS.VARSTNICE'!G58+'68.02.05 CUMULAT AP+SF.NIC'!G58+'68.06 centralizat'!G58+'68.15.01-AJ SOC'!G58+'68.15.02-CANTINA'!G58+'68.50.50 rest DAS+CPFA'!G58</f>
        <v>240</v>
      </c>
      <c r="H58" s="422">
        <f>'68.04-PERS.VARSTNICE'!H58+'68.02.05 CUMULAT AP+SF.NIC'!H58+'68.06 centralizat'!H58+'68.15.01-AJ SOC'!H58+'68.15.02-CANTINA'!H58+'68.50.50 rest DAS+CPFA'!H58</f>
        <v>246</v>
      </c>
      <c r="I58" s="422">
        <f>'68.04-PERS.VARSTNICE'!I58+'68.02.05 CUMULAT AP+SF.NIC'!I58+'68.06 centralizat'!I58+'68.15.01-AJ SOC'!I58+'68.15.02-CANTINA'!I58+'68.50.50 rest DAS+CPFA'!I58</f>
        <v>242</v>
      </c>
      <c r="J58" s="422">
        <f>'68.04-PERS.VARSTNICE'!J58+'68.02.05 CUMULAT AP+SF.NIC'!J58+'68.06 centralizat'!J58+'68.15.01-AJ SOC'!J58+'68.15.02-CANTINA'!J58+'68.50.50 rest DAS+CPFA'!J58</f>
        <v>236</v>
      </c>
      <c r="K58" s="104"/>
      <c r="L58" s="103"/>
      <c r="M58" s="781"/>
    </row>
    <row r="59" spans="1:13" s="4" customFormat="1" ht="12.75" customHeight="1" thickBot="1" x14ac:dyDescent="0.25">
      <c r="A59" s="820">
        <v>49</v>
      </c>
      <c r="B59" s="55" t="s">
        <v>95</v>
      </c>
      <c r="C59" s="56" t="s">
        <v>96</v>
      </c>
      <c r="D59" s="422">
        <f>'68.04-PERS.VARSTNICE'!D59+'68.02.05 CUMULAT AP+SF.NIC'!D59+'68.06 centralizat'!D59+'68.15.01-AJ SOC'!D59+'68.15.02-CANTINA'!D59+'68.50.50 rest DAS+CPFA'!D59</f>
        <v>0</v>
      </c>
      <c r="E59" s="422">
        <f>'68.04-PERS.VARSTNICE'!E59+'68.02.05 CUMULAT AP+SF.NIC'!E59+'68.06 centralizat'!E59+'68.15.01-AJ SOC'!E59+'68.15.02-CANTINA'!E59+'68.50.50 rest DAS+CPFA'!E59</f>
        <v>0</v>
      </c>
      <c r="F59" s="422">
        <f>'68.04-PERS.VARSTNICE'!F59+'68.02.05 CUMULAT AP+SF.NIC'!F59+'68.06 centralizat'!F59+'68.15.01-AJ SOC'!F59+'68.15.02-CANTINA'!F59+'68.50.50 rest DAS+CPFA'!F59</f>
        <v>72</v>
      </c>
      <c r="G59" s="422">
        <f>'68.04-PERS.VARSTNICE'!G59+'68.02.05 CUMULAT AP+SF.NIC'!G59+'68.06 centralizat'!G59+'68.15.01-AJ SOC'!G59+'68.15.02-CANTINA'!G59+'68.50.50 rest DAS+CPFA'!G59</f>
        <v>35</v>
      </c>
      <c r="H59" s="422">
        <f>'68.04-PERS.VARSTNICE'!H59+'68.02.05 CUMULAT AP+SF.NIC'!H59+'68.06 centralizat'!H59+'68.15.01-AJ SOC'!H59+'68.15.02-CANTINA'!H59+'68.50.50 rest DAS+CPFA'!H59</f>
        <v>27</v>
      </c>
      <c r="I59" s="422">
        <f>'68.04-PERS.VARSTNICE'!I59+'68.02.05 CUMULAT AP+SF.NIC'!I59+'68.06 centralizat'!I59+'68.15.01-AJ SOC'!I59+'68.15.02-CANTINA'!I59+'68.50.50 rest DAS+CPFA'!I59</f>
        <v>5</v>
      </c>
      <c r="J59" s="422">
        <f>'68.04-PERS.VARSTNICE'!J59+'68.02.05 CUMULAT AP+SF.NIC'!J59+'68.06 centralizat'!J59+'68.15.01-AJ SOC'!J59+'68.15.02-CANTINA'!J59+'68.50.50 rest DAS+CPFA'!J59</f>
        <v>5</v>
      </c>
      <c r="K59" s="104"/>
      <c r="L59" s="103"/>
      <c r="M59" s="781"/>
    </row>
    <row r="60" spans="1:13" s="4" customFormat="1" ht="12.75" customHeight="1" thickBot="1" x14ac:dyDescent="0.25">
      <c r="A60" s="689">
        <v>50</v>
      </c>
      <c r="B60" s="59" t="s">
        <v>97</v>
      </c>
      <c r="C60" s="41" t="s">
        <v>98</v>
      </c>
      <c r="D60" s="422">
        <f>'68.04-PERS.VARSTNICE'!D60+'68.02.05 CUMULAT AP+SF.NIC'!D60+'68.06 centralizat'!D60+'68.15.01-AJ SOC'!D60+'68.15.02-CANTINA'!D60+'68.50.50 rest DAS+CPFA'!D60</f>
        <v>0</v>
      </c>
      <c r="E60" s="422">
        <f>'68.04-PERS.VARSTNICE'!E60+'68.02.05 CUMULAT AP+SF.NIC'!E60+'68.06 centralizat'!E60+'68.15.01-AJ SOC'!E60+'68.15.02-CANTINA'!E60+'68.50.50 rest DAS+CPFA'!E60</f>
        <v>0</v>
      </c>
      <c r="F60" s="422">
        <f>'68.04-PERS.VARSTNICE'!F60+'68.02.05 CUMULAT AP+SF.NIC'!F60+'68.06 centralizat'!F60+'68.15.01-AJ SOC'!F60+'68.15.02-CANTINA'!F60+'68.50.50 rest DAS+CPFA'!F60</f>
        <v>20</v>
      </c>
      <c r="G60" s="422">
        <f>'68.04-PERS.VARSTNICE'!G60+'68.02.05 CUMULAT AP+SF.NIC'!G60+'68.06 centralizat'!G60+'68.15.01-AJ SOC'!G60+'68.15.02-CANTINA'!G60+'68.50.50 rest DAS+CPFA'!G60</f>
        <v>5</v>
      </c>
      <c r="H60" s="422">
        <f>'68.04-PERS.VARSTNICE'!H60+'68.02.05 CUMULAT AP+SF.NIC'!H60+'68.06 centralizat'!H60+'68.15.01-AJ SOC'!H60+'68.15.02-CANTINA'!H60+'68.50.50 rest DAS+CPFA'!H60</f>
        <v>5</v>
      </c>
      <c r="I60" s="422">
        <f>'68.04-PERS.VARSTNICE'!I60+'68.02.05 CUMULAT AP+SF.NIC'!I60+'68.06 centralizat'!I60+'68.15.01-AJ SOC'!I60+'68.15.02-CANTINA'!I60+'68.50.50 rest DAS+CPFA'!I60</f>
        <v>5</v>
      </c>
      <c r="J60" s="422">
        <f>'68.04-PERS.VARSTNICE'!J60+'68.02.05 CUMULAT AP+SF.NIC'!J60+'68.06 centralizat'!J60+'68.15.01-AJ SOC'!J60+'68.15.02-CANTINA'!J60+'68.50.50 rest DAS+CPFA'!J60</f>
        <v>5</v>
      </c>
      <c r="K60" s="250"/>
      <c r="L60" s="91"/>
      <c r="M60" s="780"/>
    </row>
    <row r="61" spans="1:13" s="4" customFormat="1" ht="12.75" customHeight="1" thickBot="1" x14ac:dyDescent="0.25">
      <c r="A61" s="820">
        <v>51</v>
      </c>
      <c r="B61" s="59" t="s">
        <v>99</v>
      </c>
      <c r="C61" s="41" t="s">
        <v>100</v>
      </c>
      <c r="D61" s="422">
        <f>'68.04-PERS.VARSTNICE'!D61+'68.02.05 CUMULAT AP+SF.NIC'!D61+'68.06 centralizat'!D61+'68.15.01-AJ SOC'!D61+'68.15.02-CANTINA'!D61+'68.50.50 rest DAS+CPFA'!D61</f>
        <v>0</v>
      </c>
      <c r="E61" s="422">
        <f>'68.04-PERS.VARSTNICE'!E61+'68.02.05 CUMULAT AP+SF.NIC'!E61+'68.06 centralizat'!E61+'68.15.01-AJ SOC'!E61+'68.15.02-CANTINA'!E61+'68.50.50 rest DAS+CPFA'!E61</f>
        <v>0</v>
      </c>
      <c r="F61" s="422">
        <f>'68.04-PERS.VARSTNICE'!F61+'68.02.05 CUMULAT AP+SF.NIC'!F61+'68.06 centralizat'!F61+'68.15.01-AJ SOC'!F61+'68.15.02-CANTINA'!F61+'68.50.50 rest DAS+CPFA'!F61</f>
        <v>25</v>
      </c>
      <c r="G61" s="422">
        <f>'68.04-PERS.VARSTNICE'!G61+'68.02.05 CUMULAT AP+SF.NIC'!G61+'68.06 centralizat'!G61+'68.15.01-AJ SOC'!G61+'68.15.02-CANTINA'!G61+'68.50.50 rest DAS+CPFA'!G61</f>
        <v>15</v>
      </c>
      <c r="H61" s="422">
        <f>'68.04-PERS.VARSTNICE'!H61+'68.02.05 CUMULAT AP+SF.NIC'!H61+'68.06 centralizat'!H61+'68.15.01-AJ SOC'!H61+'68.15.02-CANTINA'!H61+'68.50.50 rest DAS+CPFA'!H61</f>
        <v>10</v>
      </c>
      <c r="I61" s="422">
        <f>'68.04-PERS.VARSTNICE'!I61+'68.02.05 CUMULAT AP+SF.NIC'!I61+'68.06 centralizat'!I61+'68.15.01-AJ SOC'!I61+'68.15.02-CANTINA'!I61+'68.50.50 rest DAS+CPFA'!I61</f>
        <v>0</v>
      </c>
      <c r="J61" s="422">
        <f>'68.04-PERS.VARSTNICE'!J61+'68.02.05 CUMULAT AP+SF.NIC'!J61+'68.06 centralizat'!J61+'68.15.01-AJ SOC'!J61+'68.15.02-CANTINA'!J61+'68.50.50 rest DAS+CPFA'!J61</f>
        <v>0</v>
      </c>
      <c r="K61" s="250"/>
      <c r="L61" s="91"/>
      <c r="M61" s="780"/>
    </row>
    <row r="62" spans="1:13" s="4" customFormat="1" ht="12.75" customHeight="1" thickBot="1" x14ac:dyDescent="0.25">
      <c r="A62" s="689">
        <v>52</v>
      </c>
      <c r="B62" s="59" t="s">
        <v>101</v>
      </c>
      <c r="C62" s="41" t="s">
        <v>102</v>
      </c>
      <c r="D62" s="422">
        <f>'68.04-PERS.VARSTNICE'!D62+'68.02.05 CUMULAT AP+SF.NIC'!D62+'68.06 centralizat'!D62+'68.15.01-AJ SOC'!D62+'68.15.02-CANTINA'!D62+'68.50.50 rest DAS+CPFA'!D62</f>
        <v>0</v>
      </c>
      <c r="E62" s="422">
        <f>'68.04-PERS.VARSTNICE'!E62+'68.02.05 CUMULAT AP+SF.NIC'!E62+'68.06 centralizat'!E62+'68.15.01-AJ SOC'!E62+'68.15.02-CANTINA'!E62+'68.50.50 rest DAS+CPFA'!E62</f>
        <v>0</v>
      </c>
      <c r="F62" s="422">
        <f>'68.04-PERS.VARSTNICE'!F62+'68.02.05 CUMULAT AP+SF.NIC'!F62+'68.06 centralizat'!F62+'68.15.01-AJ SOC'!F62+'68.15.02-CANTINA'!F62+'68.50.50 rest DAS+CPFA'!F62</f>
        <v>27</v>
      </c>
      <c r="G62" s="422">
        <f>'68.04-PERS.VARSTNICE'!G62+'68.02.05 CUMULAT AP+SF.NIC'!G62+'68.06 centralizat'!G62+'68.15.01-AJ SOC'!G62+'68.15.02-CANTINA'!G62+'68.50.50 rest DAS+CPFA'!G62</f>
        <v>15</v>
      </c>
      <c r="H62" s="422">
        <f>'68.04-PERS.VARSTNICE'!H62+'68.02.05 CUMULAT AP+SF.NIC'!H62+'68.06 centralizat'!H62+'68.15.01-AJ SOC'!H62+'68.15.02-CANTINA'!H62+'68.50.50 rest DAS+CPFA'!H62</f>
        <v>12</v>
      </c>
      <c r="I62" s="422">
        <f>'68.04-PERS.VARSTNICE'!I62+'68.02.05 CUMULAT AP+SF.NIC'!I62+'68.06 centralizat'!I62+'68.15.01-AJ SOC'!I62+'68.15.02-CANTINA'!I62+'68.50.50 rest DAS+CPFA'!I62</f>
        <v>0</v>
      </c>
      <c r="J62" s="422">
        <f>'68.04-PERS.VARSTNICE'!J62+'68.02.05 CUMULAT AP+SF.NIC'!J62+'68.06 centralizat'!J62+'68.15.01-AJ SOC'!J62+'68.15.02-CANTINA'!J62+'68.50.50 rest DAS+CPFA'!J62</f>
        <v>0</v>
      </c>
      <c r="K62" s="250"/>
      <c r="L62" s="91"/>
      <c r="M62" s="780"/>
    </row>
    <row r="63" spans="1:13" s="4" customFormat="1" ht="12.75" customHeight="1" thickBot="1" x14ac:dyDescent="0.25">
      <c r="A63" s="820">
        <v>53</v>
      </c>
      <c r="B63" s="59" t="s">
        <v>234</v>
      </c>
      <c r="C63" s="41" t="s">
        <v>102</v>
      </c>
      <c r="D63" s="422">
        <f>'68.04-PERS.VARSTNICE'!D63+'68.02.05 CUMULAT AP+SF.NIC'!D63+'68.06 centralizat'!D63+'68.15.01-AJ SOC'!D63+'68.15.02-CANTINA'!D63+'68.50.50 rest DAS+CPFA'!D63</f>
        <v>0</v>
      </c>
      <c r="E63" s="422">
        <f>'68.04-PERS.VARSTNICE'!E63+'68.02.05 CUMULAT AP+SF.NIC'!E63+'68.06 centralizat'!E63+'68.15.01-AJ SOC'!E63+'68.15.02-CANTINA'!E63+'68.50.50 rest DAS+CPFA'!E63</f>
        <v>0</v>
      </c>
      <c r="F63" s="422">
        <f>'68.04-PERS.VARSTNICE'!F63+'68.02.05 CUMULAT AP+SF.NIC'!F63+'68.06 centralizat'!F63+'68.15.01-AJ SOC'!F63+'68.15.02-CANTINA'!F63+'68.50.50 rest DAS+CPFA'!F63</f>
        <v>0</v>
      </c>
      <c r="G63" s="422">
        <f>'68.04-PERS.VARSTNICE'!G63+'68.02.05 CUMULAT AP+SF.NIC'!G63+'68.06 centralizat'!G63+'68.15.01-AJ SOC'!G63+'68.15.02-CANTINA'!G63+'68.50.50 rest DAS+CPFA'!G63</f>
        <v>0</v>
      </c>
      <c r="H63" s="422">
        <f>'68.04-PERS.VARSTNICE'!H63+'68.02.05 CUMULAT AP+SF.NIC'!H63+'68.06 centralizat'!H63+'68.15.01-AJ SOC'!H63+'68.15.02-CANTINA'!H63+'68.50.50 rest DAS+CPFA'!H63</f>
        <v>0</v>
      </c>
      <c r="I63" s="422">
        <f>'68.04-PERS.VARSTNICE'!I63+'68.02.05 CUMULAT AP+SF.NIC'!I63+'68.06 centralizat'!I63+'68.15.01-AJ SOC'!I63+'68.15.02-CANTINA'!I63+'68.50.50 rest DAS+CPFA'!I63</f>
        <v>0</v>
      </c>
      <c r="J63" s="422">
        <f>'68.04-PERS.VARSTNICE'!J63+'68.02.05 CUMULAT AP+SF.NIC'!J63+'68.06 centralizat'!J63+'68.15.01-AJ SOC'!J63+'68.15.02-CANTINA'!J63+'68.50.50 rest DAS+CPFA'!J63</f>
        <v>0</v>
      </c>
      <c r="K63" s="250"/>
      <c r="L63" s="91"/>
      <c r="M63" s="780"/>
    </row>
    <row r="64" spans="1:13" s="4" customFormat="1" ht="12.75" customHeight="1" thickBot="1" x14ac:dyDescent="0.25">
      <c r="A64" s="689">
        <v>54</v>
      </c>
      <c r="B64" s="76" t="s">
        <v>104</v>
      </c>
      <c r="C64" s="56" t="s">
        <v>105</v>
      </c>
      <c r="D64" s="422">
        <f>'68.04-PERS.VARSTNICE'!D64+'68.02.05 CUMULAT AP+SF.NIC'!D64+'68.06 centralizat'!D64+'68.15.01-AJ SOC'!D64+'68.15.02-CANTINA'!D64+'68.50.50 rest DAS+CPFA'!D64</f>
        <v>0</v>
      </c>
      <c r="E64" s="422">
        <f>'68.04-PERS.VARSTNICE'!E64+'68.02.05 CUMULAT AP+SF.NIC'!E64+'68.06 centralizat'!E64+'68.15.01-AJ SOC'!E64+'68.15.02-CANTINA'!E64+'68.50.50 rest DAS+CPFA'!E64</f>
        <v>0</v>
      </c>
      <c r="F64" s="422">
        <f>'68.04-PERS.VARSTNICE'!F64+'68.02.05 CUMULAT AP+SF.NIC'!F64+'68.06 centralizat'!F64+'68.15.01-AJ SOC'!F64+'68.15.02-CANTINA'!F64+'68.50.50 rest DAS+CPFA'!F64</f>
        <v>434.65999999999997</v>
      </c>
      <c r="G64" s="422">
        <f>'68.04-PERS.VARSTNICE'!G64+'68.02.05 CUMULAT AP+SF.NIC'!G64+'68.06 centralizat'!G64+'68.15.01-AJ SOC'!G64+'68.15.02-CANTINA'!G64+'68.50.50 rest DAS+CPFA'!G64</f>
        <v>106</v>
      </c>
      <c r="H64" s="422">
        <f>'68.04-PERS.VARSTNICE'!H64+'68.02.05 CUMULAT AP+SF.NIC'!H64+'68.06 centralizat'!H64+'68.15.01-AJ SOC'!H64+'68.15.02-CANTINA'!H64+'68.50.50 rest DAS+CPFA'!H64</f>
        <v>307.65999999999997</v>
      </c>
      <c r="I64" s="422">
        <f>'68.04-PERS.VARSTNICE'!I64+'68.02.05 CUMULAT AP+SF.NIC'!I64+'68.06 centralizat'!I64+'68.15.01-AJ SOC'!I64+'68.15.02-CANTINA'!I64+'68.50.50 rest DAS+CPFA'!I64</f>
        <v>19</v>
      </c>
      <c r="J64" s="422">
        <f>'68.04-PERS.VARSTNICE'!J64+'68.02.05 CUMULAT AP+SF.NIC'!J64+'68.06 centralizat'!J64+'68.15.01-AJ SOC'!J64+'68.15.02-CANTINA'!J64+'68.50.50 rest DAS+CPFA'!J64</f>
        <v>2</v>
      </c>
      <c r="K64" s="104"/>
      <c r="L64" s="103"/>
      <c r="M64" s="781"/>
    </row>
    <row r="65" spans="1:13" s="4" customFormat="1" ht="12.75" customHeight="1" thickBot="1" x14ac:dyDescent="0.25">
      <c r="A65" s="820">
        <v>55</v>
      </c>
      <c r="B65" s="59" t="s">
        <v>106</v>
      </c>
      <c r="C65" s="41" t="s">
        <v>107</v>
      </c>
      <c r="D65" s="422">
        <f>'68.04-PERS.VARSTNICE'!D65+'68.02.05 CUMULAT AP+SF.NIC'!D65+'68.06 centralizat'!D65+'68.15.01-AJ SOC'!D65+'68.15.02-CANTINA'!D65+'68.50.50 rest DAS+CPFA'!D65</f>
        <v>0</v>
      </c>
      <c r="E65" s="422">
        <f>'68.04-PERS.VARSTNICE'!E65+'68.02.05 CUMULAT AP+SF.NIC'!E65+'68.06 centralizat'!E65+'68.15.01-AJ SOC'!E65+'68.15.02-CANTINA'!E65+'68.50.50 rest DAS+CPFA'!E65</f>
        <v>0</v>
      </c>
      <c r="F65" s="422">
        <f>'68.04-PERS.VARSTNICE'!F65+'68.02.05 CUMULAT AP+SF.NIC'!F65+'68.06 centralizat'!F65+'68.15.01-AJ SOC'!F65+'68.15.02-CANTINA'!F65+'68.50.50 rest DAS+CPFA'!F65</f>
        <v>34</v>
      </c>
      <c r="G65" s="422">
        <f>'68.04-PERS.VARSTNICE'!G65+'68.02.05 CUMULAT AP+SF.NIC'!G65+'68.06 centralizat'!G65+'68.15.01-AJ SOC'!G65+'68.15.02-CANTINA'!G65+'68.50.50 rest DAS+CPFA'!G65</f>
        <v>20</v>
      </c>
      <c r="H65" s="422">
        <f>'68.04-PERS.VARSTNICE'!H65+'68.02.05 CUMULAT AP+SF.NIC'!H65+'68.06 centralizat'!H65+'68.15.01-AJ SOC'!H65+'68.15.02-CANTINA'!H65+'68.50.50 rest DAS+CPFA'!H65</f>
        <v>7</v>
      </c>
      <c r="I65" s="422">
        <f>'68.04-PERS.VARSTNICE'!I65+'68.02.05 CUMULAT AP+SF.NIC'!I65+'68.06 centralizat'!I65+'68.15.01-AJ SOC'!I65+'68.15.02-CANTINA'!I65+'68.50.50 rest DAS+CPFA'!I65</f>
        <v>7</v>
      </c>
      <c r="J65" s="422">
        <f>'68.04-PERS.VARSTNICE'!J65+'68.02.05 CUMULAT AP+SF.NIC'!J65+'68.06 centralizat'!J65+'68.15.01-AJ SOC'!J65+'68.15.02-CANTINA'!J65+'68.50.50 rest DAS+CPFA'!J65</f>
        <v>0</v>
      </c>
      <c r="K65" s="104"/>
      <c r="L65" s="103"/>
      <c r="M65" s="781"/>
    </row>
    <row r="66" spans="1:13" s="4" customFormat="1" ht="12.75" customHeight="1" thickBot="1" x14ac:dyDescent="0.25">
      <c r="A66" s="689">
        <v>56</v>
      </c>
      <c r="B66" s="59" t="s">
        <v>108</v>
      </c>
      <c r="C66" s="41" t="s">
        <v>109</v>
      </c>
      <c r="D66" s="422">
        <f>'68.04-PERS.VARSTNICE'!D66+'68.02.05 CUMULAT AP+SF.NIC'!D66+'68.06 centralizat'!D66+'68.15.01-AJ SOC'!D66+'68.15.02-CANTINA'!D66+'68.50.50 rest DAS+CPFA'!D66</f>
        <v>0</v>
      </c>
      <c r="E66" s="422">
        <f>'68.04-PERS.VARSTNICE'!E66+'68.02.05 CUMULAT AP+SF.NIC'!E66+'68.06 centralizat'!E66+'68.15.01-AJ SOC'!E66+'68.15.02-CANTINA'!E66+'68.50.50 rest DAS+CPFA'!E66</f>
        <v>0</v>
      </c>
      <c r="F66" s="422">
        <f>'68.04-PERS.VARSTNICE'!F66+'68.02.05 CUMULAT AP+SF.NIC'!F66+'68.06 centralizat'!F66+'68.15.01-AJ SOC'!F66+'68.15.02-CANTINA'!F66+'68.50.50 rest DAS+CPFA'!F66</f>
        <v>81.099999999999994</v>
      </c>
      <c r="G66" s="422">
        <f>'68.04-PERS.VARSTNICE'!G66+'68.02.05 CUMULAT AP+SF.NIC'!G66+'68.06 centralizat'!G66+'68.15.01-AJ SOC'!G66+'68.15.02-CANTINA'!G66+'68.50.50 rest DAS+CPFA'!G66</f>
        <v>31</v>
      </c>
      <c r="H66" s="422">
        <f>'68.04-PERS.VARSTNICE'!H66+'68.02.05 CUMULAT AP+SF.NIC'!H66+'68.06 centralizat'!H66+'68.15.01-AJ SOC'!H66+'68.15.02-CANTINA'!H66+'68.50.50 rest DAS+CPFA'!H66</f>
        <v>50.099999999999994</v>
      </c>
      <c r="I66" s="422">
        <f>'68.04-PERS.VARSTNICE'!I66+'68.02.05 CUMULAT AP+SF.NIC'!I66+'68.06 centralizat'!I66+'68.15.01-AJ SOC'!I66+'68.15.02-CANTINA'!I66+'68.50.50 rest DAS+CPFA'!I66</f>
        <v>0</v>
      </c>
      <c r="J66" s="422">
        <f>'68.04-PERS.VARSTNICE'!J66+'68.02.05 CUMULAT AP+SF.NIC'!J66+'68.06 centralizat'!J66+'68.15.01-AJ SOC'!J66+'68.15.02-CANTINA'!J66+'68.50.50 rest DAS+CPFA'!J66</f>
        <v>0</v>
      </c>
      <c r="K66" s="250"/>
      <c r="L66" s="91"/>
      <c r="M66" s="780"/>
    </row>
    <row r="67" spans="1:13" s="4" customFormat="1" ht="12.75" customHeight="1" thickBot="1" x14ac:dyDescent="0.25">
      <c r="A67" s="820">
        <v>57</v>
      </c>
      <c r="B67" s="59" t="s">
        <v>294</v>
      </c>
      <c r="C67" s="41" t="s">
        <v>111</v>
      </c>
      <c r="D67" s="422">
        <f>'68.04-PERS.VARSTNICE'!D67+'68.02.05 CUMULAT AP+SF.NIC'!D67+'68.06 centralizat'!D67+'68.15.01-AJ SOC'!D67+'68.15.02-CANTINA'!D67+'68.50.50 rest DAS+CPFA'!D67</f>
        <v>0</v>
      </c>
      <c r="E67" s="422">
        <f>'68.04-PERS.VARSTNICE'!E67+'68.02.05 CUMULAT AP+SF.NIC'!E67+'68.06 centralizat'!E67+'68.15.01-AJ SOC'!E67+'68.15.02-CANTINA'!E67+'68.50.50 rest DAS+CPFA'!E67</f>
        <v>0</v>
      </c>
      <c r="F67" s="422">
        <f>'68.04-PERS.VARSTNICE'!F67+'68.02.05 CUMULAT AP+SF.NIC'!F67+'68.06 centralizat'!F67+'68.15.01-AJ SOC'!F67+'68.15.02-CANTINA'!F67+'68.50.50 rest DAS+CPFA'!F67</f>
        <v>319.55999999999995</v>
      </c>
      <c r="G67" s="422">
        <f>'68.04-PERS.VARSTNICE'!G67+'68.02.05 CUMULAT AP+SF.NIC'!G67+'68.06 centralizat'!G67+'68.15.01-AJ SOC'!G67+'68.15.02-CANTINA'!G67+'68.50.50 rest DAS+CPFA'!G67</f>
        <v>55</v>
      </c>
      <c r="H67" s="422">
        <f>'68.04-PERS.VARSTNICE'!H67+'68.02.05 CUMULAT AP+SF.NIC'!H67+'68.06 centralizat'!H67+'68.15.01-AJ SOC'!H67+'68.15.02-CANTINA'!H67+'68.50.50 rest DAS+CPFA'!H67</f>
        <v>250.55999999999997</v>
      </c>
      <c r="I67" s="422">
        <f>'68.04-PERS.VARSTNICE'!I67+'68.02.05 CUMULAT AP+SF.NIC'!I67+'68.06 centralizat'!I67+'68.15.01-AJ SOC'!I67+'68.15.02-CANTINA'!I67+'68.50.50 rest DAS+CPFA'!I67</f>
        <v>12</v>
      </c>
      <c r="J67" s="422">
        <f>'68.04-PERS.VARSTNICE'!J67+'68.02.05 CUMULAT AP+SF.NIC'!J67+'68.06 centralizat'!J67+'68.15.01-AJ SOC'!J67+'68.15.02-CANTINA'!J67+'68.50.50 rest DAS+CPFA'!J67</f>
        <v>2</v>
      </c>
      <c r="K67" s="250"/>
      <c r="L67" s="91"/>
      <c r="M67" s="780"/>
    </row>
    <row r="68" spans="1:13" s="4" customFormat="1" ht="12.75" hidden="1" customHeight="1" thickBot="1" x14ac:dyDescent="0.25">
      <c r="A68" s="689">
        <v>58</v>
      </c>
      <c r="B68" s="59" t="s">
        <v>235</v>
      </c>
      <c r="C68" s="41" t="s">
        <v>111</v>
      </c>
      <c r="D68" s="422">
        <f>'68.04-PERS.VARSTNICE'!D68+'68.02.05 CUMULAT AP+SF.NIC'!D68+'68.06 centralizat'!D68+'68.15.01-AJ SOC'!D68+'68.15.02-CANTINA'!D68+'68.50.50 rest DAS+CPFA'!D68</f>
        <v>0</v>
      </c>
      <c r="E68" s="422">
        <f>'68.04-PERS.VARSTNICE'!E68+'68.02.05 CUMULAT AP+SF.NIC'!E68+'68.06 centralizat'!E68+'68.15.01-AJ SOC'!E68+'68.15.02-CANTINA'!E68+'68.50.50 rest DAS+CPFA'!E68</f>
        <v>0</v>
      </c>
      <c r="F68" s="422">
        <f>'68.04-PERS.VARSTNICE'!F68+'68.02.05 CUMULAT AP+SF.NIC'!F68+'68.06 centralizat'!F68+'68.15.01-AJ SOC'!F68+'68.15.02-CANTINA'!F68+'68.50.50 rest DAS+CPFA'!F68</f>
        <v>0</v>
      </c>
      <c r="G68" s="422">
        <f>'68.04-PERS.VARSTNICE'!G68+'68.02.05 CUMULAT AP+SF.NIC'!G68+'68.06 centralizat'!G68+'68.15.01-AJ SOC'!G68+'68.15.02-CANTINA'!G68+'68.50.50 rest DAS+CPFA'!G68</f>
        <v>0</v>
      </c>
      <c r="H68" s="422">
        <f>'68.04-PERS.VARSTNICE'!H68+'68.02.05 CUMULAT AP+SF.NIC'!H68+'68.06 centralizat'!H68+'68.15.01-AJ SOC'!H68+'68.15.02-CANTINA'!H68+'68.50.50 rest DAS+CPFA'!H68</f>
        <v>0</v>
      </c>
      <c r="I68" s="422">
        <f>'68.04-PERS.VARSTNICE'!I68+'68.02.05 CUMULAT AP+SF.NIC'!I68+'68.06 centralizat'!I68+'68.15.01-AJ SOC'!I68+'68.15.02-CANTINA'!I68+'68.50.50 rest DAS+CPFA'!I68</f>
        <v>0</v>
      </c>
      <c r="J68" s="422">
        <f>'68.04-PERS.VARSTNICE'!J68+'68.02.05 CUMULAT AP+SF.NIC'!J68+'68.06 centralizat'!J68+'68.15.01-AJ SOC'!J68+'68.15.02-CANTINA'!J68+'68.50.50 rest DAS+CPFA'!J68</f>
        <v>0</v>
      </c>
      <c r="K68" s="250"/>
      <c r="L68" s="91"/>
      <c r="M68" s="780"/>
    </row>
    <row r="69" spans="1:13" s="4" customFormat="1" ht="12.75" customHeight="1" thickBot="1" x14ac:dyDescent="0.25">
      <c r="A69" s="820">
        <v>59</v>
      </c>
      <c r="B69" s="77" t="s">
        <v>113</v>
      </c>
      <c r="C69" s="56" t="s">
        <v>114</v>
      </c>
      <c r="D69" s="422">
        <f>'68.04-PERS.VARSTNICE'!D69+'68.02.05 CUMULAT AP+SF.NIC'!D69+'68.06 centralizat'!D69+'68.15.01-AJ SOC'!D69+'68.15.02-CANTINA'!D69+'68.50.50 rest DAS+CPFA'!D69</f>
        <v>0</v>
      </c>
      <c r="E69" s="422">
        <f>'68.04-PERS.VARSTNICE'!E69+'68.02.05 CUMULAT AP+SF.NIC'!E69+'68.06 centralizat'!E69+'68.15.01-AJ SOC'!E69+'68.15.02-CANTINA'!E69+'68.50.50 rest DAS+CPFA'!E69</f>
        <v>0</v>
      </c>
      <c r="F69" s="422">
        <f>'68.04-PERS.VARSTNICE'!F69+'68.02.05 CUMULAT AP+SF.NIC'!F69+'68.06 centralizat'!F69+'68.15.01-AJ SOC'!F69+'68.15.02-CANTINA'!F69+'68.50.50 rest DAS+CPFA'!F69</f>
        <v>47</v>
      </c>
      <c r="G69" s="422">
        <f>'68.04-PERS.VARSTNICE'!G69+'68.02.05 CUMULAT AP+SF.NIC'!G69+'68.06 centralizat'!G69+'68.15.01-AJ SOC'!G69+'68.15.02-CANTINA'!G69+'68.50.50 rest DAS+CPFA'!G69</f>
        <v>13</v>
      </c>
      <c r="H69" s="422">
        <f>'68.04-PERS.VARSTNICE'!H69+'68.02.05 CUMULAT AP+SF.NIC'!H69+'68.06 centralizat'!H69+'68.15.01-AJ SOC'!H69+'68.15.02-CANTINA'!H69+'68.50.50 rest DAS+CPFA'!H69</f>
        <v>12</v>
      </c>
      <c r="I69" s="422">
        <f>'68.04-PERS.VARSTNICE'!I69+'68.02.05 CUMULAT AP+SF.NIC'!I69+'68.06 centralizat'!I69+'68.15.01-AJ SOC'!I69+'68.15.02-CANTINA'!I69+'68.50.50 rest DAS+CPFA'!I69</f>
        <v>12</v>
      </c>
      <c r="J69" s="422">
        <f>'68.04-PERS.VARSTNICE'!J69+'68.02.05 CUMULAT AP+SF.NIC'!J69+'68.06 centralizat'!J69+'68.15.01-AJ SOC'!J69+'68.15.02-CANTINA'!J69+'68.50.50 rest DAS+CPFA'!J69</f>
        <v>10</v>
      </c>
      <c r="K69" s="104"/>
      <c r="L69" s="103"/>
      <c r="M69" s="781"/>
    </row>
    <row r="70" spans="1:13" s="4" customFormat="1" ht="12.75" customHeight="1" thickBot="1" x14ac:dyDescent="0.25">
      <c r="A70" s="689">
        <v>60</v>
      </c>
      <c r="B70" s="59" t="s">
        <v>115</v>
      </c>
      <c r="C70" s="41" t="s">
        <v>116</v>
      </c>
      <c r="D70" s="422">
        <f>'68.04-PERS.VARSTNICE'!D70+'68.02.05 CUMULAT AP+SF.NIC'!D70+'68.06 centralizat'!D70+'68.15.01-AJ SOC'!D70+'68.15.02-CANTINA'!D70+'68.50.50 rest DAS+CPFA'!D70</f>
        <v>0</v>
      </c>
      <c r="E70" s="422">
        <f>'68.04-PERS.VARSTNICE'!E70+'68.02.05 CUMULAT AP+SF.NIC'!E70+'68.06 centralizat'!E70+'68.15.01-AJ SOC'!E70+'68.15.02-CANTINA'!E70+'68.50.50 rest DAS+CPFA'!E70</f>
        <v>0</v>
      </c>
      <c r="F70" s="422">
        <f>'68.04-PERS.VARSTNICE'!F70+'68.02.05 CUMULAT AP+SF.NIC'!F70+'68.06 centralizat'!F70+'68.15.01-AJ SOC'!F70+'68.15.02-CANTINA'!F70+'68.50.50 rest DAS+CPFA'!F70</f>
        <v>47</v>
      </c>
      <c r="G70" s="422">
        <f>'68.04-PERS.VARSTNICE'!G70+'68.02.05 CUMULAT AP+SF.NIC'!G70+'68.06 centralizat'!G70+'68.15.01-AJ SOC'!G70+'68.15.02-CANTINA'!G70+'68.50.50 rest DAS+CPFA'!G70</f>
        <v>13</v>
      </c>
      <c r="H70" s="422">
        <f>'68.04-PERS.VARSTNICE'!H70+'68.02.05 CUMULAT AP+SF.NIC'!H70+'68.06 centralizat'!H70+'68.15.01-AJ SOC'!H70+'68.15.02-CANTINA'!H70+'68.50.50 rest DAS+CPFA'!H70</f>
        <v>12</v>
      </c>
      <c r="I70" s="422">
        <f>'68.04-PERS.VARSTNICE'!I70+'68.02.05 CUMULAT AP+SF.NIC'!I70+'68.06 centralizat'!I70+'68.15.01-AJ SOC'!I70+'68.15.02-CANTINA'!I70+'68.50.50 rest DAS+CPFA'!I70</f>
        <v>12</v>
      </c>
      <c r="J70" s="422">
        <f>'68.04-PERS.VARSTNICE'!J70+'68.02.05 CUMULAT AP+SF.NIC'!J70+'68.06 centralizat'!J70+'68.15.01-AJ SOC'!J70+'68.15.02-CANTINA'!J70+'68.50.50 rest DAS+CPFA'!J70</f>
        <v>10</v>
      </c>
      <c r="K70" s="250"/>
      <c r="L70" s="91"/>
      <c r="M70" s="780"/>
    </row>
    <row r="71" spans="1:13" s="4" customFormat="1" ht="12.75" customHeight="1" thickBot="1" x14ac:dyDescent="0.25">
      <c r="A71" s="820">
        <v>61</v>
      </c>
      <c r="B71" s="59" t="s">
        <v>117</v>
      </c>
      <c r="C71" s="41" t="s">
        <v>118</v>
      </c>
      <c r="D71" s="422">
        <f>'68.04-PERS.VARSTNICE'!D71+'68.02.05 CUMULAT AP+SF.NIC'!D71+'68.06 centralizat'!D71+'68.15.01-AJ SOC'!D71+'68.15.02-CANTINA'!D71+'68.50.50 rest DAS+CPFA'!D71</f>
        <v>0</v>
      </c>
      <c r="E71" s="422">
        <f>'68.04-PERS.VARSTNICE'!E71+'68.02.05 CUMULAT AP+SF.NIC'!E71+'68.06 centralizat'!E71+'68.15.01-AJ SOC'!E71+'68.15.02-CANTINA'!E71+'68.50.50 rest DAS+CPFA'!E71</f>
        <v>0</v>
      </c>
      <c r="F71" s="422">
        <f>'68.04-PERS.VARSTNICE'!F71+'68.02.05 CUMULAT AP+SF.NIC'!F71+'68.06 centralizat'!F71+'68.15.01-AJ SOC'!F71+'68.15.02-CANTINA'!F71+'68.50.50 rest DAS+CPFA'!F71</f>
        <v>0</v>
      </c>
      <c r="G71" s="422">
        <f>'68.04-PERS.VARSTNICE'!G71+'68.02.05 CUMULAT AP+SF.NIC'!G71+'68.06 centralizat'!G71+'68.15.01-AJ SOC'!G71+'68.15.02-CANTINA'!G71+'68.50.50 rest DAS+CPFA'!G71</f>
        <v>0</v>
      </c>
      <c r="H71" s="422">
        <f>'68.04-PERS.VARSTNICE'!H71+'68.02.05 CUMULAT AP+SF.NIC'!H71+'68.06 centralizat'!H71+'68.15.01-AJ SOC'!H71+'68.15.02-CANTINA'!H71+'68.50.50 rest DAS+CPFA'!H71</f>
        <v>0</v>
      </c>
      <c r="I71" s="422">
        <f>'68.04-PERS.VARSTNICE'!I71+'68.02.05 CUMULAT AP+SF.NIC'!I71+'68.06 centralizat'!I71+'68.15.01-AJ SOC'!I71+'68.15.02-CANTINA'!I71+'68.50.50 rest DAS+CPFA'!I71</f>
        <v>0</v>
      </c>
      <c r="J71" s="422">
        <f>'68.04-PERS.VARSTNICE'!J71+'68.02.05 CUMULAT AP+SF.NIC'!J71+'68.06 centralizat'!J71+'68.15.01-AJ SOC'!J71+'68.15.02-CANTINA'!J71+'68.50.50 rest DAS+CPFA'!J71</f>
        <v>0</v>
      </c>
      <c r="K71" s="250"/>
      <c r="L71" s="91"/>
      <c r="M71" s="780"/>
    </row>
    <row r="72" spans="1:13" s="4" customFormat="1" ht="12.75" customHeight="1" thickBot="1" x14ac:dyDescent="0.25">
      <c r="A72" s="689">
        <v>62</v>
      </c>
      <c r="B72" s="55" t="s">
        <v>119</v>
      </c>
      <c r="C72" s="56" t="s">
        <v>120</v>
      </c>
      <c r="D72" s="422">
        <f>'68.04-PERS.VARSTNICE'!D72+'68.02.05 CUMULAT AP+SF.NIC'!D72+'68.06 centralizat'!D72+'68.15.01-AJ SOC'!D72+'68.15.02-CANTINA'!D72+'68.50.50 rest DAS+CPFA'!D72</f>
        <v>0</v>
      </c>
      <c r="E72" s="422">
        <f>'68.04-PERS.VARSTNICE'!E72+'68.02.05 CUMULAT AP+SF.NIC'!E72+'68.06 centralizat'!E72+'68.15.01-AJ SOC'!E72+'68.15.02-CANTINA'!E72+'68.50.50 rest DAS+CPFA'!E72</f>
        <v>0</v>
      </c>
      <c r="F72" s="422">
        <f>'68.04-PERS.VARSTNICE'!F72+'68.02.05 CUMULAT AP+SF.NIC'!F72+'68.06 centralizat'!F72+'68.15.01-AJ SOC'!F72+'68.15.02-CANTINA'!F72+'68.50.50 rest DAS+CPFA'!F72</f>
        <v>0</v>
      </c>
      <c r="G72" s="422">
        <f>'68.04-PERS.VARSTNICE'!G72+'68.02.05 CUMULAT AP+SF.NIC'!G72+'68.06 centralizat'!G72+'68.15.01-AJ SOC'!G72+'68.15.02-CANTINA'!G72+'68.50.50 rest DAS+CPFA'!G72</f>
        <v>0</v>
      </c>
      <c r="H72" s="422">
        <f>'68.04-PERS.VARSTNICE'!H72+'68.02.05 CUMULAT AP+SF.NIC'!H72+'68.06 centralizat'!H72+'68.15.01-AJ SOC'!H72+'68.15.02-CANTINA'!H72+'68.50.50 rest DAS+CPFA'!H72</f>
        <v>0</v>
      </c>
      <c r="I72" s="422">
        <f>'68.04-PERS.VARSTNICE'!I72+'68.02.05 CUMULAT AP+SF.NIC'!I72+'68.06 centralizat'!I72+'68.15.01-AJ SOC'!I72+'68.15.02-CANTINA'!I72+'68.50.50 rest DAS+CPFA'!I72</f>
        <v>0</v>
      </c>
      <c r="J72" s="422">
        <f>'68.04-PERS.VARSTNICE'!J72+'68.02.05 CUMULAT AP+SF.NIC'!J72+'68.06 centralizat'!J72+'68.15.01-AJ SOC'!J72+'68.15.02-CANTINA'!J72+'68.50.50 rest DAS+CPFA'!J72</f>
        <v>0</v>
      </c>
      <c r="K72" s="104"/>
      <c r="L72" s="103"/>
      <c r="M72" s="781"/>
    </row>
    <row r="73" spans="1:13" s="4" customFormat="1" ht="12.75" customHeight="1" thickBot="1" x14ac:dyDescent="0.25">
      <c r="A73" s="820">
        <v>63</v>
      </c>
      <c r="B73" s="55" t="s">
        <v>121</v>
      </c>
      <c r="C73" s="56" t="s">
        <v>122</v>
      </c>
      <c r="D73" s="422">
        <f>'68.04-PERS.VARSTNICE'!D73+'68.02.05 CUMULAT AP+SF.NIC'!D73+'68.06 centralizat'!D73+'68.15.01-AJ SOC'!D73+'68.15.02-CANTINA'!D73+'68.50.50 rest DAS+CPFA'!D73</f>
        <v>0</v>
      </c>
      <c r="E73" s="422">
        <f>'68.04-PERS.VARSTNICE'!E73+'68.02.05 CUMULAT AP+SF.NIC'!E73+'68.06 centralizat'!E73+'68.15.01-AJ SOC'!E73+'68.15.02-CANTINA'!E73+'68.50.50 rest DAS+CPFA'!E73</f>
        <v>0</v>
      </c>
      <c r="F73" s="422">
        <f>'68.04-PERS.VARSTNICE'!F73+'68.02.05 CUMULAT AP+SF.NIC'!F73+'68.06 centralizat'!F73+'68.15.01-AJ SOC'!F73+'68.15.02-CANTINA'!F73+'68.50.50 rest DAS+CPFA'!F73</f>
        <v>40</v>
      </c>
      <c r="G73" s="422">
        <f>'68.04-PERS.VARSTNICE'!G73+'68.02.05 CUMULAT AP+SF.NIC'!G73+'68.06 centralizat'!G73+'68.15.01-AJ SOC'!G73+'68.15.02-CANTINA'!G73+'68.50.50 rest DAS+CPFA'!G73</f>
        <v>16</v>
      </c>
      <c r="H73" s="422">
        <f>'68.04-PERS.VARSTNICE'!H73+'68.02.05 CUMULAT AP+SF.NIC'!H73+'68.06 centralizat'!H73+'68.15.01-AJ SOC'!H73+'68.15.02-CANTINA'!H73+'68.50.50 rest DAS+CPFA'!H73</f>
        <v>15</v>
      </c>
      <c r="I73" s="422">
        <f>'68.04-PERS.VARSTNICE'!I73+'68.02.05 CUMULAT AP+SF.NIC'!I73+'68.06 centralizat'!I73+'68.15.01-AJ SOC'!I73+'68.15.02-CANTINA'!I73+'68.50.50 rest DAS+CPFA'!I73</f>
        <v>6</v>
      </c>
      <c r="J73" s="422">
        <f>'68.04-PERS.VARSTNICE'!J73+'68.02.05 CUMULAT AP+SF.NIC'!J73+'68.06 centralizat'!J73+'68.15.01-AJ SOC'!J73+'68.15.02-CANTINA'!J73+'68.50.50 rest DAS+CPFA'!J73</f>
        <v>3</v>
      </c>
      <c r="K73" s="104"/>
      <c r="L73" s="103"/>
      <c r="M73" s="781"/>
    </row>
    <row r="74" spans="1:13" s="4" customFormat="1" ht="12.75" customHeight="1" thickBot="1" x14ac:dyDescent="0.25">
      <c r="A74" s="689">
        <v>64</v>
      </c>
      <c r="B74" s="55" t="s">
        <v>123</v>
      </c>
      <c r="C74" s="56" t="s">
        <v>124</v>
      </c>
      <c r="D74" s="422">
        <f>'68.04-PERS.VARSTNICE'!D74+'68.02.05 CUMULAT AP+SF.NIC'!D74+'68.06 centralizat'!D74+'68.15.01-AJ SOC'!D74+'68.15.02-CANTINA'!D74+'68.50.50 rest DAS+CPFA'!D74</f>
        <v>0</v>
      </c>
      <c r="E74" s="422">
        <f>'68.04-PERS.VARSTNICE'!E74+'68.02.05 CUMULAT AP+SF.NIC'!E74+'68.06 centralizat'!E74+'68.15.01-AJ SOC'!E74+'68.15.02-CANTINA'!E74+'68.50.50 rest DAS+CPFA'!E74</f>
        <v>0</v>
      </c>
      <c r="F74" s="422">
        <f>'68.04-PERS.VARSTNICE'!F74+'68.02.05 CUMULAT AP+SF.NIC'!F74+'68.06 centralizat'!F74+'68.15.01-AJ SOC'!F74+'68.15.02-CANTINA'!F74+'68.50.50 rest DAS+CPFA'!F74</f>
        <v>125</v>
      </c>
      <c r="G74" s="422">
        <f>'68.04-PERS.VARSTNICE'!G74+'68.02.05 CUMULAT AP+SF.NIC'!G74+'68.06 centralizat'!G74+'68.15.01-AJ SOC'!G74+'68.15.02-CANTINA'!G74+'68.50.50 rest DAS+CPFA'!G74</f>
        <v>53</v>
      </c>
      <c r="H74" s="422">
        <f>'68.04-PERS.VARSTNICE'!H74+'68.02.05 CUMULAT AP+SF.NIC'!H74+'68.06 centralizat'!H74+'68.15.01-AJ SOC'!H74+'68.15.02-CANTINA'!H74+'68.50.50 rest DAS+CPFA'!H74</f>
        <v>40</v>
      </c>
      <c r="I74" s="422">
        <f>'68.04-PERS.VARSTNICE'!I74+'68.02.05 CUMULAT AP+SF.NIC'!I74+'68.06 centralizat'!I74+'68.15.01-AJ SOC'!I74+'68.15.02-CANTINA'!I74+'68.50.50 rest DAS+CPFA'!I74</f>
        <v>15</v>
      </c>
      <c r="J74" s="422">
        <f>'68.04-PERS.VARSTNICE'!J74+'68.02.05 CUMULAT AP+SF.NIC'!J74+'68.06 centralizat'!J74+'68.15.01-AJ SOC'!J74+'68.15.02-CANTINA'!J74+'68.50.50 rest DAS+CPFA'!J74</f>
        <v>17</v>
      </c>
      <c r="K74" s="104"/>
      <c r="L74" s="103"/>
      <c r="M74" s="781"/>
    </row>
    <row r="75" spans="1:13" s="4" customFormat="1" ht="12.75" hidden="1" customHeight="1" thickBot="1" x14ac:dyDescent="0.25">
      <c r="A75" s="820">
        <v>65</v>
      </c>
      <c r="B75" s="55" t="s">
        <v>125</v>
      </c>
      <c r="C75" s="56" t="s">
        <v>126</v>
      </c>
      <c r="D75" s="422">
        <f>'68.04-PERS.VARSTNICE'!D75+'68.02.05 CUMULAT AP+SF.NIC'!D75+'68.06 centralizat'!D75+'68.15.01-AJ SOC'!D75+'68.15.02-CANTINA'!D75+'68.50.50 rest DAS+CPFA'!D75</f>
        <v>0</v>
      </c>
      <c r="E75" s="422">
        <f>'68.04-PERS.VARSTNICE'!E75+'68.02.05 CUMULAT AP+SF.NIC'!E75+'68.06 centralizat'!E75+'68.15.01-AJ SOC'!E75+'68.15.02-CANTINA'!E75+'68.50.50 rest DAS+CPFA'!E75</f>
        <v>0</v>
      </c>
      <c r="F75" s="422">
        <f>'68.04-PERS.VARSTNICE'!F75+'68.02.05 CUMULAT AP+SF.NIC'!F75+'68.06 centralizat'!F75+'68.15.01-AJ SOC'!F75+'68.15.02-CANTINA'!F75+'68.50.50 rest DAS+CPFA'!F75</f>
        <v>0</v>
      </c>
      <c r="G75" s="422">
        <f>'68.04-PERS.VARSTNICE'!G75+'68.02.05 CUMULAT AP+SF.NIC'!G75+'68.06 centralizat'!G75+'68.15.01-AJ SOC'!G75+'68.15.02-CANTINA'!G75+'68.50.50 rest DAS+CPFA'!G75</f>
        <v>0</v>
      </c>
      <c r="H75" s="422">
        <f>'68.04-PERS.VARSTNICE'!H75+'68.02.05 CUMULAT AP+SF.NIC'!H75+'68.06 centralizat'!H75+'68.15.01-AJ SOC'!H75+'68.15.02-CANTINA'!H75+'68.50.50 rest DAS+CPFA'!H75</f>
        <v>0</v>
      </c>
      <c r="I75" s="422">
        <f>'68.04-PERS.VARSTNICE'!I75+'68.02.05 CUMULAT AP+SF.NIC'!I75+'68.06 centralizat'!I75+'68.15.01-AJ SOC'!I75+'68.15.02-CANTINA'!I75+'68.50.50 rest DAS+CPFA'!I75</f>
        <v>0</v>
      </c>
      <c r="J75" s="422">
        <f>'68.04-PERS.VARSTNICE'!J75+'68.02.05 CUMULAT AP+SF.NIC'!J75+'68.06 centralizat'!J75+'68.15.01-AJ SOC'!J75+'68.15.02-CANTINA'!J75+'68.50.50 rest DAS+CPFA'!J75</f>
        <v>0</v>
      </c>
      <c r="K75" s="104"/>
      <c r="L75" s="103"/>
      <c r="M75" s="781"/>
    </row>
    <row r="76" spans="1:13" s="4" customFormat="1" ht="12.75" customHeight="1" thickBot="1" x14ac:dyDescent="0.25">
      <c r="A76" s="689">
        <v>66</v>
      </c>
      <c r="B76" s="55" t="s">
        <v>127</v>
      </c>
      <c r="C76" s="56" t="s">
        <v>128</v>
      </c>
      <c r="D76" s="422">
        <f>'68.04-PERS.VARSTNICE'!D76+'68.02.05 CUMULAT AP+SF.NIC'!D76+'68.06 centralizat'!D76+'68.15.01-AJ SOC'!D76+'68.15.02-CANTINA'!D76+'68.50.50 rest DAS+CPFA'!D76</f>
        <v>0</v>
      </c>
      <c r="E76" s="422">
        <f>'68.04-PERS.VARSTNICE'!E76+'68.02.05 CUMULAT AP+SF.NIC'!E76+'68.06 centralizat'!E76+'68.15.01-AJ SOC'!E76+'68.15.02-CANTINA'!E76+'68.50.50 rest DAS+CPFA'!E76</f>
        <v>0</v>
      </c>
      <c r="F76" s="422">
        <f>'68.04-PERS.VARSTNICE'!F76+'68.02.05 CUMULAT AP+SF.NIC'!F76+'68.06 centralizat'!F76+'68.15.01-AJ SOC'!F76+'68.15.02-CANTINA'!F76+'68.50.50 rest DAS+CPFA'!F76</f>
        <v>3776</v>
      </c>
      <c r="G76" s="422">
        <f>'68.04-PERS.VARSTNICE'!G76+'68.02.05 CUMULAT AP+SF.NIC'!G76+'68.06 centralizat'!G76+'68.15.01-AJ SOC'!G76+'68.15.02-CANTINA'!G76+'68.50.50 rest DAS+CPFA'!G76</f>
        <v>396</v>
      </c>
      <c r="H76" s="422">
        <f>'68.04-PERS.VARSTNICE'!H76+'68.02.05 CUMULAT AP+SF.NIC'!H76+'68.06 centralizat'!H76+'68.15.01-AJ SOC'!H76+'68.15.02-CANTINA'!H76+'68.50.50 rest DAS+CPFA'!H76</f>
        <v>923</v>
      </c>
      <c r="I76" s="422">
        <f>'68.04-PERS.VARSTNICE'!I76+'68.02.05 CUMULAT AP+SF.NIC'!I76+'68.06 centralizat'!I76+'68.15.01-AJ SOC'!I76+'68.15.02-CANTINA'!I76+'68.50.50 rest DAS+CPFA'!I76</f>
        <v>1272</v>
      </c>
      <c r="J76" s="422">
        <f>'68.04-PERS.VARSTNICE'!J76+'68.02.05 CUMULAT AP+SF.NIC'!J76+'68.06 centralizat'!J76+'68.15.01-AJ SOC'!J76+'68.15.02-CANTINA'!J76+'68.50.50 rest DAS+CPFA'!J76</f>
        <v>1185</v>
      </c>
      <c r="K76" s="104"/>
      <c r="L76" s="103"/>
      <c r="M76" s="781"/>
    </row>
    <row r="77" spans="1:13" s="4" customFormat="1" ht="12.75" customHeight="1" thickBot="1" x14ac:dyDescent="0.25">
      <c r="A77" s="820">
        <v>67</v>
      </c>
      <c r="B77" s="59" t="s">
        <v>129</v>
      </c>
      <c r="C77" s="41" t="s">
        <v>130</v>
      </c>
      <c r="D77" s="422">
        <f>'68.04-PERS.VARSTNICE'!D77+'68.02.05 CUMULAT AP+SF.NIC'!D77+'68.06 centralizat'!D77+'68.15.01-AJ SOC'!D77+'68.15.02-CANTINA'!D77+'68.50.50 rest DAS+CPFA'!D77</f>
        <v>0</v>
      </c>
      <c r="E77" s="422">
        <f>'68.04-PERS.VARSTNICE'!E77+'68.02.05 CUMULAT AP+SF.NIC'!E77+'68.06 centralizat'!E77+'68.15.01-AJ SOC'!E77+'68.15.02-CANTINA'!E77+'68.50.50 rest DAS+CPFA'!E77</f>
        <v>0</v>
      </c>
      <c r="F77" s="422">
        <f>'68.04-PERS.VARSTNICE'!F77+'68.02.05 CUMULAT AP+SF.NIC'!F77+'68.06 centralizat'!F77+'68.15.01-AJ SOC'!F77+'68.15.02-CANTINA'!F77+'68.50.50 rest DAS+CPFA'!F77</f>
        <v>7</v>
      </c>
      <c r="G77" s="422">
        <f>'68.04-PERS.VARSTNICE'!G77+'68.02.05 CUMULAT AP+SF.NIC'!G77+'68.06 centralizat'!G77+'68.15.01-AJ SOC'!G77+'68.15.02-CANTINA'!G77+'68.50.50 rest DAS+CPFA'!G77</f>
        <v>3</v>
      </c>
      <c r="H77" s="422">
        <f>'68.04-PERS.VARSTNICE'!H77+'68.02.05 CUMULAT AP+SF.NIC'!H77+'68.06 centralizat'!H77+'68.15.01-AJ SOC'!H77+'68.15.02-CANTINA'!H77+'68.50.50 rest DAS+CPFA'!H77</f>
        <v>2</v>
      </c>
      <c r="I77" s="422">
        <f>'68.04-PERS.VARSTNICE'!I77+'68.02.05 CUMULAT AP+SF.NIC'!I77+'68.06 centralizat'!I77+'68.15.01-AJ SOC'!I77+'68.15.02-CANTINA'!I77+'68.50.50 rest DAS+CPFA'!I77</f>
        <v>2</v>
      </c>
      <c r="J77" s="422">
        <f>'68.04-PERS.VARSTNICE'!J77+'68.02.05 CUMULAT AP+SF.NIC'!J77+'68.06 centralizat'!J77+'68.15.01-AJ SOC'!J77+'68.15.02-CANTINA'!J77+'68.50.50 rest DAS+CPFA'!J77</f>
        <v>0</v>
      </c>
      <c r="K77" s="104"/>
      <c r="L77" s="103"/>
      <c r="M77" s="781"/>
    </row>
    <row r="78" spans="1:13" s="4" customFormat="1" ht="12.75" customHeight="1" thickBot="1" x14ac:dyDescent="0.25">
      <c r="A78" s="689">
        <v>68</v>
      </c>
      <c r="B78" s="59" t="s">
        <v>131</v>
      </c>
      <c r="C78" s="56" t="s">
        <v>132</v>
      </c>
      <c r="D78" s="422">
        <f>'68.04-PERS.VARSTNICE'!D78+'68.02.05 CUMULAT AP+SF.NIC'!D78+'68.06 centralizat'!D78+'68.15.01-AJ SOC'!D78+'68.15.02-CANTINA'!D78+'68.50.50 rest DAS+CPFA'!D78</f>
        <v>0</v>
      </c>
      <c r="E78" s="422">
        <f>'68.04-PERS.VARSTNICE'!E78+'68.02.05 CUMULAT AP+SF.NIC'!E78+'68.06 centralizat'!E78+'68.15.01-AJ SOC'!E78+'68.15.02-CANTINA'!E78+'68.50.50 rest DAS+CPFA'!E78</f>
        <v>0</v>
      </c>
      <c r="F78" s="422">
        <f>'68.04-PERS.VARSTNICE'!F78+'68.02.05 CUMULAT AP+SF.NIC'!F78+'68.06 centralizat'!F78+'68.15.01-AJ SOC'!F78+'68.15.02-CANTINA'!F78+'68.50.50 rest DAS+CPFA'!F78</f>
        <v>3769</v>
      </c>
      <c r="G78" s="422">
        <f>'68.04-PERS.VARSTNICE'!G78+'68.02.05 CUMULAT AP+SF.NIC'!G78+'68.06 centralizat'!G78+'68.15.01-AJ SOC'!G78+'68.15.02-CANTINA'!G78+'68.50.50 rest DAS+CPFA'!G78</f>
        <v>393</v>
      </c>
      <c r="H78" s="422">
        <f>'68.04-PERS.VARSTNICE'!H78+'68.02.05 CUMULAT AP+SF.NIC'!H78+'68.06 centralizat'!H78+'68.15.01-AJ SOC'!H78+'68.15.02-CANTINA'!H78+'68.50.50 rest DAS+CPFA'!H78</f>
        <v>921</v>
      </c>
      <c r="I78" s="422">
        <f>'68.04-PERS.VARSTNICE'!I78+'68.02.05 CUMULAT AP+SF.NIC'!I78+'68.06 centralizat'!I78+'68.15.01-AJ SOC'!I78+'68.15.02-CANTINA'!I78+'68.50.50 rest DAS+CPFA'!I78</f>
        <v>1270</v>
      </c>
      <c r="J78" s="422">
        <f>'68.04-PERS.VARSTNICE'!J78+'68.02.05 CUMULAT AP+SF.NIC'!J78+'68.06 centralizat'!J78+'68.15.01-AJ SOC'!J78+'68.15.02-CANTINA'!J78+'68.50.50 rest DAS+CPFA'!J78</f>
        <v>1185</v>
      </c>
      <c r="K78" s="250"/>
      <c r="L78" s="91"/>
      <c r="M78" s="780"/>
    </row>
    <row r="79" spans="1:13" s="4" customFormat="1" ht="27" customHeight="1" thickBot="1" x14ac:dyDescent="0.25">
      <c r="A79" s="820">
        <v>69</v>
      </c>
      <c r="B79" s="60" t="s">
        <v>358</v>
      </c>
      <c r="C79" s="41"/>
      <c r="D79" s="422">
        <f>'68.04-PERS.VARSTNICE'!D79+'68.02.05 CUMULAT AP+SF.NIC'!D79+'68.06 centralizat'!D79+'68.15.01-AJ SOC'!D79+'68.15.02-CANTINA'!D79+'68.50.50 rest DAS+CPFA'!D79</f>
        <v>0</v>
      </c>
      <c r="E79" s="422">
        <f>'68.04-PERS.VARSTNICE'!E79+'68.02.05 CUMULAT AP+SF.NIC'!E79+'68.06 centralizat'!E79+'68.15.01-AJ SOC'!E79+'68.15.02-CANTINA'!E79+'68.50.50 rest DAS+CPFA'!E79</f>
        <v>0</v>
      </c>
      <c r="F79" s="422">
        <f>'68.04-PERS.VARSTNICE'!F79+'68.02.05 CUMULAT AP+SF.NIC'!F79+'68.06 centralizat'!F79+'68.15.01-AJ SOC'!F79+'68.15.02-CANTINA'!F79+'68.50.50 rest DAS+CPFA'!F79</f>
        <v>608</v>
      </c>
      <c r="G79" s="422">
        <f>'68.04-PERS.VARSTNICE'!G79+'68.02.05 CUMULAT AP+SF.NIC'!G79+'68.06 centralizat'!G79+'68.15.01-AJ SOC'!G79+'68.15.02-CANTINA'!G79+'68.50.50 rest DAS+CPFA'!G79</f>
        <v>267</v>
      </c>
      <c r="H79" s="422">
        <f>'68.04-PERS.VARSTNICE'!H79+'68.02.05 CUMULAT AP+SF.NIC'!H79+'68.06 centralizat'!H79+'68.15.01-AJ SOC'!H79+'68.15.02-CANTINA'!H79+'68.50.50 rest DAS+CPFA'!H79</f>
        <v>107</v>
      </c>
      <c r="I79" s="422">
        <f>'68.04-PERS.VARSTNICE'!I79+'68.02.05 CUMULAT AP+SF.NIC'!I79+'68.06 centralizat'!I79+'68.15.01-AJ SOC'!I79+'68.15.02-CANTINA'!I79+'68.50.50 rest DAS+CPFA'!I79</f>
        <v>139</v>
      </c>
      <c r="J79" s="422">
        <f>'68.04-PERS.VARSTNICE'!J79+'68.02.05 CUMULAT AP+SF.NIC'!J79+'68.06 centralizat'!J79+'68.15.01-AJ SOC'!J79+'68.15.02-CANTINA'!J79+'68.50.50 rest DAS+CPFA'!J79</f>
        <v>95</v>
      </c>
      <c r="K79" s="250"/>
      <c r="L79" s="91"/>
      <c r="M79" s="780"/>
    </row>
    <row r="80" spans="1:13" s="4" customFormat="1" ht="29.45" customHeight="1" thickBot="1" x14ac:dyDescent="0.25">
      <c r="A80" s="689">
        <v>70</v>
      </c>
      <c r="B80" s="60" t="s">
        <v>363</v>
      </c>
      <c r="C80" s="41"/>
      <c r="D80" s="422">
        <f>'68.04-PERS.VARSTNICE'!D80+'68.02.05 CUMULAT AP+SF.NIC'!D80+'68.06 centralizat'!D80+'68.15.01-AJ SOC'!D80+'68.15.02-CANTINA'!D80+'68.50.50 rest DAS+CPFA'!D80</f>
        <v>0</v>
      </c>
      <c r="E80" s="422">
        <f>'68.04-PERS.VARSTNICE'!E80+'68.02.05 CUMULAT AP+SF.NIC'!E80+'68.06 centralizat'!E80+'68.15.01-AJ SOC'!E80+'68.15.02-CANTINA'!E80+'68.50.50 rest DAS+CPFA'!E80</f>
        <v>0</v>
      </c>
      <c r="F80" s="422">
        <f>'68.04-PERS.VARSTNICE'!F80+'68.02.05 CUMULAT AP+SF.NIC'!F80+'68.06 centralizat'!F80+'68.15.01-AJ SOC'!F80+'68.15.02-CANTINA'!F80+'68.50.50 rest DAS+CPFA'!F80</f>
        <v>49</v>
      </c>
      <c r="G80" s="422">
        <f>'68.04-PERS.VARSTNICE'!G80+'68.02.05 CUMULAT AP+SF.NIC'!G80+'68.06 centralizat'!G80+'68.15.01-AJ SOC'!G80+'68.15.02-CANTINA'!G80+'68.50.50 rest DAS+CPFA'!G80</f>
        <v>20</v>
      </c>
      <c r="H80" s="422">
        <f>'68.04-PERS.VARSTNICE'!H80+'68.02.05 CUMULAT AP+SF.NIC'!H80+'68.06 centralizat'!H80+'68.15.01-AJ SOC'!H80+'68.15.02-CANTINA'!H80+'68.50.50 rest DAS+CPFA'!H80</f>
        <v>15</v>
      </c>
      <c r="I80" s="422">
        <f>'68.04-PERS.VARSTNICE'!I80+'68.02.05 CUMULAT AP+SF.NIC'!I80+'68.06 centralizat'!I80+'68.15.01-AJ SOC'!I80+'68.15.02-CANTINA'!I80+'68.50.50 rest DAS+CPFA'!I80</f>
        <v>10</v>
      </c>
      <c r="J80" s="422">
        <f>'68.04-PERS.VARSTNICE'!J80+'68.02.05 CUMULAT AP+SF.NIC'!J80+'68.06 centralizat'!J80+'68.15.01-AJ SOC'!J80+'68.15.02-CANTINA'!J80+'68.50.50 rest DAS+CPFA'!J80</f>
        <v>4</v>
      </c>
      <c r="K80" s="250"/>
      <c r="L80" s="91"/>
      <c r="M80" s="780"/>
    </row>
    <row r="81" spans="1:13" s="4" customFormat="1" ht="26.25" customHeight="1" thickBot="1" x14ac:dyDescent="0.25">
      <c r="A81" s="820">
        <v>71</v>
      </c>
      <c r="B81" s="80" t="s">
        <v>365</v>
      </c>
      <c r="C81" s="41"/>
      <c r="D81" s="422">
        <f>'68.04-PERS.VARSTNICE'!D81+'68.02.05 CUMULAT AP+SF.NIC'!D81+'68.06 centralizat'!D81+'68.15.01-AJ SOC'!D81+'68.15.02-CANTINA'!D81+'68.50.50 rest DAS+CPFA'!D81</f>
        <v>0</v>
      </c>
      <c r="E81" s="422">
        <f>'68.04-PERS.VARSTNICE'!E81+'68.02.05 CUMULAT AP+SF.NIC'!E81+'68.06 centralizat'!E81+'68.15.01-AJ SOC'!E81+'68.15.02-CANTINA'!E81+'68.50.50 rest DAS+CPFA'!E81</f>
        <v>0</v>
      </c>
      <c r="F81" s="422">
        <f>'68.04-PERS.VARSTNICE'!F81+'68.02.05 CUMULAT AP+SF.NIC'!F81+'68.06 centralizat'!F81+'68.15.01-AJ SOC'!F81+'68.15.02-CANTINA'!F81+'68.50.50 rest DAS+CPFA'!F81</f>
        <v>93</v>
      </c>
      <c r="G81" s="422">
        <f>'68.04-PERS.VARSTNICE'!G81+'68.02.05 CUMULAT AP+SF.NIC'!G81+'68.06 centralizat'!G81+'68.15.01-AJ SOC'!G81+'68.15.02-CANTINA'!G81+'68.50.50 rest DAS+CPFA'!G81</f>
        <v>62</v>
      </c>
      <c r="H81" s="422">
        <f>'68.04-PERS.VARSTNICE'!H81+'68.02.05 CUMULAT AP+SF.NIC'!H81+'68.06 centralizat'!H81+'68.15.01-AJ SOC'!H81+'68.15.02-CANTINA'!H81+'68.50.50 rest DAS+CPFA'!H81</f>
        <v>31</v>
      </c>
      <c r="I81" s="422">
        <f>'68.04-PERS.VARSTNICE'!I81+'68.02.05 CUMULAT AP+SF.NIC'!I81+'68.06 centralizat'!I81+'68.15.01-AJ SOC'!I81+'68.15.02-CANTINA'!I81+'68.50.50 rest DAS+CPFA'!I81</f>
        <v>0</v>
      </c>
      <c r="J81" s="422">
        <f>'68.04-PERS.VARSTNICE'!J81+'68.02.05 CUMULAT AP+SF.NIC'!J81+'68.06 centralizat'!J81+'68.15.01-AJ SOC'!J81+'68.15.02-CANTINA'!J81+'68.50.50 rest DAS+CPFA'!J81</f>
        <v>0</v>
      </c>
      <c r="K81" s="250"/>
      <c r="L81" s="91"/>
      <c r="M81" s="780"/>
    </row>
    <row r="82" spans="1:13" s="4" customFormat="1" ht="40.15" customHeight="1" thickBot="1" x14ac:dyDescent="0.25">
      <c r="A82" s="689">
        <v>72</v>
      </c>
      <c r="B82" s="60" t="s">
        <v>378</v>
      </c>
      <c r="C82" s="41"/>
      <c r="D82" s="422">
        <f>'68.04-PERS.VARSTNICE'!D82+'68.02.05 CUMULAT AP+SF.NIC'!D82+'68.06 centralizat'!D82+'68.15.01-AJ SOC'!D82+'68.15.02-CANTINA'!D82+'68.50.50 rest DAS+CPFA'!D82</f>
        <v>0</v>
      </c>
      <c r="E82" s="422">
        <f>'68.04-PERS.VARSTNICE'!E82+'68.02.05 CUMULAT AP+SF.NIC'!E82+'68.06 centralizat'!E82+'68.15.01-AJ SOC'!E82+'68.15.02-CANTINA'!E82+'68.50.50 rest DAS+CPFA'!E82</f>
        <v>0</v>
      </c>
      <c r="F82" s="422">
        <f>'68.04-PERS.VARSTNICE'!F82+'68.02.05 CUMULAT AP+SF.NIC'!F82+'68.06 centralizat'!F82+'68.15.01-AJ SOC'!F82+'68.15.02-CANTINA'!F82+'68.50.50 rest DAS+CPFA'!F82</f>
        <v>2890</v>
      </c>
      <c r="G82" s="422">
        <f>'68.04-PERS.VARSTNICE'!G82+'68.02.05 CUMULAT AP+SF.NIC'!G82+'68.06 centralizat'!G82+'68.15.01-AJ SOC'!G82+'68.15.02-CANTINA'!G82+'68.50.50 rest DAS+CPFA'!G82</f>
        <v>0</v>
      </c>
      <c r="H82" s="422">
        <f>'68.04-PERS.VARSTNICE'!H82+'68.02.05 CUMULAT AP+SF.NIC'!H82+'68.06 centralizat'!H82+'68.15.01-AJ SOC'!H82+'68.15.02-CANTINA'!H82+'68.50.50 rest DAS+CPFA'!H82</f>
        <v>735</v>
      </c>
      <c r="I82" s="422">
        <f>'68.04-PERS.VARSTNICE'!I82+'68.02.05 CUMULAT AP+SF.NIC'!I82+'68.06 centralizat'!I82+'68.15.01-AJ SOC'!I82+'68.15.02-CANTINA'!I82+'68.50.50 rest DAS+CPFA'!I82</f>
        <v>1090</v>
      </c>
      <c r="J82" s="422">
        <f>'68.04-PERS.VARSTNICE'!J82+'68.02.05 CUMULAT AP+SF.NIC'!J82+'68.06 centralizat'!J82+'68.15.01-AJ SOC'!J82+'68.15.02-CANTINA'!J82+'68.50.50 rest DAS+CPFA'!J82</f>
        <v>1065</v>
      </c>
      <c r="K82" s="250"/>
      <c r="L82" s="91"/>
      <c r="M82" s="780"/>
    </row>
    <row r="83" spans="1:13" s="4" customFormat="1" ht="27.6" customHeight="1" thickBot="1" x14ac:dyDescent="0.25">
      <c r="A83" s="820">
        <v>73</v>
      </c>
      <c r="B83" s="60" t="s">
        <v>366</v>
      </c>
      <c r="C83" s="41"/>
      <c r="D83" s="422">
        <f>'68.04-PERS.VARSTNICE'!D83+'68.02.05 CUMULAT AP+SF.NIC'!D83+'68.06 centralizat'!D83+'68.15.01-AJ SOC'!D83+'68.15.02-CANTINA'!D83+'68.50.50 rest DAS+CPFA'!D83</f>
        <v>0</v>
      </c>
      <c r="E83" s="422">
        <f>'68.04-PERS.VARSTNICE'!E83+'68.02.05 CUMULAT AP+SF.NIC'!E83+'68.06 centralizat'!E83+'68.15.01-AJ SOC'!E83+'68.15.02-CANTINA'!E83+'68.50.50 rest DAS+CPFA'!E83</f>
        <v>0</v>
      </c>
      <c r="F83" s="422">
        <f>'68.04-PERS.VARSTNICE'!F83+'68.02.05 CUMULAT AP+SF.NIC'!F83+'68.06 centralizat'!F83+'68.15.01-AJ SOC'!F83+'68.15.02-CANTINA'!F83+'68.50.50 rest DAS+CPFA'!F83</f>
        <v>3</v>
      </c>
      <c r="G83" s="422">
        <f>'68.04-PERS.VARSTNICE'!G83+'68.02.05 CUMULAT AP+SF.NIC'!G83+'68.06 centralizat'!G83+'68.15.01-AJ SOC'!G83+'68.15.02-CANTINA'!G83+'68.50.50 rest DAS+CPFA'!G83</f>
        <v>3</v>
      </c>
      <c r="H83" s="422">
        <f>'68.04-PERS.VARSTNICE'!H83+'68.02.05 CUMULAT AP+SF.NIC'!H83+'68.06 centralizat'!H83+'68.15.01-AJ SOC'!H83+'68.15.02-CANTINA'!H83+'68.50.50 rest DAS+CPFA'!H83</f>
        <v>0</v>
      </c>
      <c r="I83" s="422">
        <f>'68.04-PERS.VARSTNICE'!I83+'68.02.05 CUMULAT AP+SF.NIC'!I83+'68.06 centralizat'!I83+'68.15.01-AJ SOC'!I83+'68.15.02-CANTINA'!I83+'68.50.50 rest DAS+CPFA'!I83</f>
        <v>0</v>
      </c>
      <c r="J83" s="422">
        <f>'68.04-PERS.VARSTNICE'!J83+'68.02.05 CUMULAT AP+SF.NIC'!J83+'68.06 centralizat'!J83+'68.15.01-AJ SOC'!J83+'68.15.02-CANTINA'!J83+'68.50.50 rest DAS+CPFA'!J83</f>
        <v>0</v>
      </c>
      <c r="K83" s="250"/>
      <c r="L83" s="91"/>
      <c r="M83" s="780"/>
    </row>
    <row r="84" spans="1:13" s="4" customFormat="1" ht="12.75" customHeight="1" thickBot="1" x14ac:dyDescent="0.25">
      <c r="A84" s="689">
        <v>74</v>
      </c>
      <c r="B84" s="90" t="s">
        <v>250</v>
      </c>
      <c r="C84" s="41"/>
      <c r="D84" s="422">
        <f>'68.04-PERS.VARSTNICE'!D84+'68.02.05 CUMULAT AP+SF.NIC'!D84+'68.06 centralizat'!D84+'68.15.01-AJ SOC'!D84+'68.15.02-CANTINA'!D84+'68.50.50 rest DAS+CPFA'!D84</f>
        <v>0</v>
      </c>
      <c r="E84" s="422">
        <f>'68.04-PERS.VARSTNICE'!E84+'68.02.05 CUMULAT AP+SF.NIC'!E84+'68.06 centralizat'!E84+'68.15.01-AJ SOC'!E84+'68.15.02-CANTINA'!E84+'68.50.50 rest DAS+CPFA'!E84</f>
        <v>0</v>
      </c>
      <c r="F84" s="422">
        <f>'68.04-PERS.VARSTNICE'!F84+'68.02.05 CUMULAT AP+SF.NIC'!F84+'68.06 centralizat'!F84+'68.15.01-AJ SOC'!F84+'68.15.02-CANTINA'!F84+'68.50.50 rest DAS+CPFA'!F84</f>
        <v>13</v>
      </c>
      <c r="G84" s="422">
        <f>'68.04-PERS.VARSTNICE'!G84+'68.02.05 CUMULAT AP+SF.NIC'!G84+'68.06 centralizat'!G84+'68.15.01-AJ SOC'!G84+'68.15.02-CANTINA'!G84+'68.50.50 rest DAS+CPFA'!G84</f>
        <v>5</v>
      </c>
      <c r="H84" s="422">
        <f>'68.04-PERS.VARSTNICE'!H84+'68.02.05 CUMULAT AP+SF.NIC'!H84+'68.06 centralizat'!H84+'68.15.01-AJ SOC'!H84+'68.15.02-CANTINA'!H84+'68.50.50 rest DAS+CPFA'!H84</f>
        <v>5</v>
      </c>
      <c r="I84" s="422">
        <f>'68.04-PERS.VARSTNICE'!I84+'68.02.05 CUMULAT AP+SF.NIC'!I84+'68.06 centralizat'!I84+'68.15.01-AJ SOC'!I84+'68.15.02-CANTINA'!I84+'68.50.50 rest DAS+CPFA'!I84</f>
        <v>3</v>
      </c>
      <c r="J84" s="422">
        <f>'68.04-PERS.VARSTNICE'!J84+'68.02.05 CUMULAT AP+SF.NIC'!J84+'68.06 centralizat'!J84+'68.15.01-AJ SOC'!J84+'68.15.02-CANTINA'!J84+'68.50.50 rest DAS+CPFA'!J84</f>
        <v>0</v>
      </c>
      <c r="K84" s="250"/>
      <c r="L84" s="91"/>
      <c r="M84" s="780"/>
    </row>
    <row r="85" spans="1:13" s="4" customFormat="1" ht="12.75" customHeight="1" thickBot="1" x14ac:dyDescent="0.25">
      <c r="A85" s="820">
        <v>75</v>
      </c>
      <c r="B85" s="90" t="s">
        <v>368</v>
      </c>
      <c r="C85" s="41"/>
      <c r="D85" s="422">
        <f>'68.04-PERS.VARSTNICE'!D85+'68.02.05 CUMULAT AP+SF.NIC'!D85+'68.06 centralizat'!D85+'68.15.01-AJ SOC'!D85+'68.15.02-CANTINA'!D85+'68.50.50 rest DAS+CPFA'!D85</f>
        <v>0</v>
      </c>
      <c r="E85" s="422">
        <f>'68.04-PERS.VARSTNICE'!E85+'68.02.05 CUMULAT AP+SF.NIC'!E85+'68.06 centralizat'!E85+'68.15.01-AJ SOC'!E85+'68.15.02-CANTINA'!E85+'68.50.50 rest DAS+CPFA'!E85</f>
        <v>0</v>
      </c>
      <c r="F85" s="422">
        <f>'68.04-PERS.VARSTNICE'!F85+'68.02.05 CUMULAT AP+SF.NIC'!F85+'68.06 centralizat'!F85+'68.15.01-AJ SOC'!F85+'68.15.02-CANTINA'!F85+'68.50.50 rest DAS+CPFA'!F85</f>
        <v>72</v>
      </c>
      <c r="G85" s="422">
        <f>'68.04-PERS.VARSTNICE'!G85+'68.02.05 CUMULAT AP+SF.NIC'!G85+'68.06 centralizat'!G85+'68.15.01-AJ SOC'!G85+'68.15.02-CANTINA'!G85+'68.50.50 rest DAS+CPFA'!G85</f>
        <v>24</v>
      </c>
      <c r="H85" s="422">
        <f>'68.04-PERS.VARSTNICE'!H85+'68.02.05 CUMULAT AP+SF.NIC'!H85+'68.06 centralizat'!H85+'68.15.01-AJ SOC'!H85+'68.15.02-CANTINA'!H85+'68.50.50 rest DAS+CPFA'!H85</f>
        <v>18</v>
      </c>
      <c r="I85" s="422">
        <f>'68.04-PERS.VARSTNICE'!I85+'68.02.05 CUMULAT AP+SF.NIC'!I85+'68.06 centralizat'!I85+'68.15.01-AJ SOC'!I85+'68.15.02-CANTINA'!I85+'68.50.50 rest DAS+CPFA'!I85</f>
        <v>18</v>
      </c>
      <c r="J85" s="422">
        <f>'68.04-PERS.VARSTNICE'!J85+'68.02.05 CUMULAT AP+SF.NIC'!J85+'68.06 centralizat'!J85+'68.15.01-AJ SOC'!J85+'68.15.02-CANTINA'!J85+'68.50.50 rest DAS+CPFA'!J85</f>
        <v>12</v>
      </c>
      <c r="K85" s="250"/>
      <c r="L85" s="91"/>
      <c r="M85" s="780"/>
    </row>
    <row r="86" spans="1:13" s="4" customFormat="1" ht="30.6" customHeight="1" thickBot="1" x14ac:dyDescent="0.25">
      <c r="A86" s="689">
        <v>76</v>
      </c>
      <c r="B86" s="941" t="s">
        <v>369</v>
      </c>
      <c r="C86" s="41"/>
      <c r="D86" s="422">
        <f>'68.04-PERS.VARSTNICE'!D86+'68.02.05 CUMULAT AP+SF.NIC'!D86+'68.06 centralizat'!D86+'68.15.01-AJ SOC'!D86+'68.15.02-CANTINA'!D86+'68.50.50 rest DAS+CPFA'!D86</f>
        <v>0</v>
      </c>
      <c r="E86" s="422">
        <f>'68.04-PERS.VARSTNICE'!E86+'68.02.05 CUMULAT AP+SF.NIC'!E86+'68.06 centralizat'!E86+'68.15.01-AJ SOC'!E86+'68.15.02-CANTINA'!E86+'68.50.50 rest DAS+CPFA'!E86</f>
        <v>0</v>
      </c>
      <c r="F86" s="422">
        <f>'68.04-PERS.VARSTNICE'!F86+'68.02.05 CUMULAT AP+SF.NIC'!F86+'68.06 centralizat'!F86+'68.15.01-AJ SOC'!F86+'68.15.02-CANTINA'!F86+'68.50.50 rest DAS+CPFA'!F86</f>
        <v>41</v>
      </c>
      <c r="G86" s="422">
        <f>'68.04-PERS.VARSTNICE'!G86+'68.02.05 CUMULAT AP+SF.NIC'!G86+'68.06 centralizat'!G86+'68.15.01-AJ SOC'!G86+'68.15.02-CANTINA'!G86+'68.50.50 rest DAS+CPFA'!G86</f>
        <v>12</v>
      </c>
      <c r="H86" s="422">
        <f>'68.04-PERS.VARSTNICE'!H86+'68.02.05 CUMULAT AP+SF.NIC'!H86+'68.06 centralizat'!H86+'68.15.01-AJ SOC'!H86+'68.15.02-CANTINA'!H86+'68.50.50 rest DAS+CPFA'!H86</f>
        <v>10</v>
      </c>
      <c r="I86" s="422">
        <f>'68.04-PERS.VARSTNICE'!I86+'68.02.05 CUMULAT AP+SF.NIC'!I86+'68.06 centralizat'!I86+'68.15.01-AJ SOC'!I86+'68.15.02-CANTINA'!I86+'68.50.50 rest DAS+CPFA'!I86</f>
        <v>10</v>
      </c>
      <c r="J86" s="422">
        <f>'68.04-PERS.VARSTNICE'!J86+'68.02.05 CUMULAT AP+SF.NIC'!J86+'68.06 centralizat'!J86+'68.15.01-AJ SOC'!J86+'68.15.02-CANTINA'!J86+'68.50.50 rest DAS+CPFA'!J86</f>
        <v>9</v>
      </c>
      <c r="K86" s="250"/>
      <c r="L86" s="91"/>
      <c r="M86" s="780"/>
    </row>
    <row r="87" spans="1:13" s="4" customFormat="1" ht="12.75" hidden="1" customHeight="1" thickBot="1" x14ac:dyDescent="0.25">
      <c r="A87" s="820">
        <v>77</v>
      </c>
      <c r="B87" s="90" t="s">
        <v>370</v>
      </c>
      <c r="C87" s="41"/>
      <c r="D87" s="422">
        <f>'68.04-PERS.VARSTNICE'!D87+'68.02.05 CUMULAT AP+SF.NIC'!D87+'68.06 centralizat'!D87+'68.15.01-AJ SOC'!D87+'68.15.02-CANTINA'!D87+'68.50.50 rest DAS+CPFA'!D87</f>
        <v>0</v>
      </c>
      <c r="E87" s="422">
        <f>'68.04-PERS.VARSTNICE'!E87+'68.02.05 CUMULAT AP+SF.NIC'!E87+'68.06 centralizat'!E87+'68.15.01-AJ SOC'!E87+'68.15.02-CANTINA'!E87+'68.50.50 rest DAS+CPFA'!E87</f>
        <v>0</v>
      </c>
      <c r="F87" s="422">
        <f>'68.04-PERS.VARSTNICE'!F87+'68.02.05 CUMULAT AP+SF.NIC'!F87+'68.06 centralizat'!F87+'68.15.01-AJ SOC'!F87+'68.15.02-CANTINA'!F87+'68.50.50 rest DAS+CPFA'!F87</f>
        <v>0</v>
      </c>
      <c r="G87" s="422">
        <f>'68.04-PERS.VARSTNICE'!G87+'68.02.05 CUMULAT AP+SF.NIC'!G87+'68.06 centralizat'!G87+'68.15.01-AJ SOC'!G87+'68.15.02-CANTINA'!G87+'68.50.50 rest DAS+CPFA'!G87</f>
        <v>0</v>
      </c>
      <c r="H87" s="422">
        <f>'68.04-PERS.VARSTNICE'!H87+'68.02.05 CUMULAT AP+SF.NIC'!H87+'68.06 centralizat'!H87+'68.15.01-AJ SOC'!H87+'68.15.02-CANTINA'!H87+'68.50.50 rest DAS+CPFA'!H87</f>
        <v>0</v>
      </c>
      <c r="I87" s="422">
        <f>'68.04-PERS.VARSTNICE'!I87+'68.02.05 CUMULAT AP+SF.NIC'!I87+'68.06 centralizat'!I87+'68.15.01-AJ SOC'!I87+'68.15.02-CANTINA'!I87+'68.50.50 rest DAS+CPFA'!I87</f>
        <v>0</v>
      </c>
      <c r="J87" s="422">
        <f>'68.04-PERS.VARSTNICE'!J87+'68.02.05 CUMULAT AP+SF.NIC'!J87+'68.06 centralizat'!J87+'68.15.01-AJ SOC'!J87+'68.15.02-CANTINA'!J87+'68.50.50 rest DAS+CPFA'!J87</f>
        <v>0</v>
      </c>
      <c r="K87" s="250"/>
      <c r="L87" s="91"/>
      <c r="M87" s="780"/>
    </row>
    <row r="88" spans="1:13" s="4" customFormat="1" ht="25.5" hidden="1" customHeight="1" thickBot="1" x14ac:dyDescent="0.25">
      <c r="A88" s="689">
        <v>78</v>
      </c>
      <c r="B88" s="100" t="s">
        <v>140</v>
      </c>
      <c r="C88" s="56" t="s">
        <v>141</v>
      </c>
      <c r="D88" s="422">
        <f>'68.04-PERS.VARSTNICE'!D88+'68.02.05 CUMULAT AP+SF.NIC'!D88+'68.06 centralizat'!D88+'68.15.01-AJ SOC'!D88+'68.15.02-CANTINA'!D88+'68.50.50 rest DAS+CPFA'!D88</f>
        <v>0</v>
      </c>
      <c r="E88" s="422">
        <f>'68.04-PERS.VARSTNICE'!E88+'68.02.05 CUMULAT AP+SF.NIC'!E88+'68.06 centralizat'!E88+'68.15.01-AJ SOC'!E88+'68.15.02-CANTINA'!E88+'68.50.50 rest DAS+CPFA'!E88</f>
        <v>0</v>
      </c>
      <c r="F88" s="422">
        <f>'68.04-PERS.VARSTNICE'!F88+'68.02.05 CUMULAT AP+SF.NIC'!F88+'68.06 centralizat'!F88+'68.15.01-AJ SOC'!F88+'68.15.02-CANTINA'!F88+'68.50.50 rest DAS+CPFA'!F88</f>
        <v>0</v>
      </c>
      <c r="G88" s="422">
        <f>'68.04-PERS.VARSTNICE'!G88+'68.02.05 CUMULAT AP+SF.NIC'!G88+'68.06 centralizat'!G88+'68.15.01-AJ SOC'!G88+'68.15.02-CANTINA'!G88+'68.50.50 rest DAS+CPFA'!G88</f>
        <v>0</v>
      </c>
      <c r="H88" s="422">
        <f>'68.04-PERS.VARSTNICE'!H88+'68.02.05 CUMULAT AP+SF.NIC'!H88+'68.06 centralizat'!H88+'68.15.01-AJ SOC'!H88+'68.15.02-CANTINA'!H88+'68.50.50 rest DAS+CPFA'!H88</f>
        <v>0</v>
      </c>
      <c r="I88" s="422">
        <f>'68.04-PERS.VARSTNICE'!I88+'68.02.05 CUMULAT AP+SF.NIC'!I88+'68.06 centralizat'!I88+'68.15.01-AJ SOC'!I88+'68.15.02-CANTINA'!I88+'68.50.50 rest DAS+CPFA'!I88</f>
        <v>0</v>
      </c>
      <c r="J88" s="422">
        <f>'68.04-PERS.VARSTNICE'!J88+'68.02.05 CUMULAT AP+SF.NIC'!J88+'68.06 centralizat'!J88+'68.15.01-AJ SOC'!J88+'68.15.02-CANTINA'!J88+'68.50.50 rest DAS+CPFA'!J88</f>
        <v>0</v>
      </c>
      <c r="K88" s="104"/>
      <c r="L88" s="103"/>
      <c r="M88" s="781"/>
    </row>
    <row r="89" spans="1:13" s="4" customFormat="1" ht="38.25" hidden="1" customHeight="1" thickBot="1" x14ac:dyDescent="0.25">
      <c r="A89" s="820">
        <v>79</v>
      </c>
      <c r="B89" s="100" t="s">
        <v>142</v>
      </c>
      <c r="C89" s="101" t="s">
        <v>143</v>
      </c>
      <c r="D89" s="422">
        <f>'68.04-PERS.VARSTNICE'!D89+'68.02.05 CUMULAT AP+SF.NIC'!D89+'68.06 centralizat'!D89+'68.15.01-AJ SOC'!D89+'68.15.02-CANTINA'!D89+'68.50.50 rest DAS+CPFA'!D89</f>
        <v>0</v>
      </c>
      <c r="E89" s="422">
        <f>'68.04-PERS.VARSTNICE'!E89+'68.02.05 CUMULAT AP+SF.NIC'!E89+'68.06 centralizat'!E89+'68.15.01-AJ SOC'!E89+'68.15.02-CANTINA'!E89+'68.50.50 rest DAS+CPFA'!E89</f>
        <v>0</v>
      </c>
      <c r="F89" s="422">
        <f>'68.04-PERS.VARSTNICE'!F89+'68.02.05 CUMULAT AP+SF.NIC'!F89+'68.06 centralizat'!F89+'68.15.01-AJ SOC'!F89+'68.15.02-CANTINA'!F89+'68.50.50 rest DAS+CPFA'!F89</f>
        <v>0</v>
      </c>
      <c r="G89" s="422">
        <f>'68.04-PERS.VARSTNICE'!G89+'68.02.05 CUMULAT AP+SF.NIC'!G89+'68.06 centralizat'!G89+'68.15.01-AJ SOC'!G89+'68.15.02-CANTINA'!G89+'68.50.50 rest DAS+CPFA'!G89</f>
        <v>0</v>
      </c>
      <c r="H89" s="422">
        <f>'68.04-PERS.VARSTNICE'!H89+'68.02.05 CUMULAT AP+SF.NIC'!H89+'68.06 centralizat'!H89+'68.15.01-AJ SOC'!H89+'68.15.02-CANTINA'!H89+'68.50.50 rest DAS+CPFA'!H89</f>
        <v>0</v>
      </c>
      <c r="I89" s="422">
        <f>'68.04-PERS.VARSTNICE'!I89+'68.02.05 CUMULAT AP+SF.NIC'!I89+'68.06 centralizat'!I89+'68.15.01-AJ SOC'!I89+'68.15.02-CANTINA'!I89+'68.50.50 rest DAS+CPFA'!I89</f>
        <v>0</v>
      </c>
      <c r="J89" s="422">
        <f>'68.04-PERS.VARSTNICE'!J89+'68.02.05 CUMULAT AP+SF.NIC'!J89+'68.06 centralizat'!J89+'68.15.01-AJ SOC'!J89+'68.15.02-CANTINA'!J89+'68.50.50 rest DAS+CPFA'!J89</f>
        <v>0</v>
      </c>
      <c r="K89" s="104"/>
      <c r="L89" s="103"/>
      <c r="M89" s="781"/>
    </row>
    <row r="90" spans="1:13" s="4" customFormat="1" ht="12.75" hidden="1" customHeight="1" thickBot="1" x14ac:dyDescent="0.25">
      <c r="A90" s="689">
        <v>80</v>
      </c>
      <c r="B90" s="62" t="s">
        <v>144</v>
      </c>
      <c r="C90" s="63" t="s">
        <v>145</v>
      </c>
      <c r="D90" s="422">
        <f>'68.04-PERS.VARSTNICE'!D90+'68.02.05 CUMULAT AP+SF.NIC'!D90+'68.06 centralizat'!D90+'68.15.01-AJ SOC'!D90+'68.15.02-CANTINA'!D90+'68.50.50 rest DAS+CPFA'!D90</f>
        <v>0</v>
      </c>
      <c r="E90" s="422">
        <f>'68.04-PERS.VARSTNICE'!E90+'68.02.05 CUMULAT AP+SF.NIC'!E90+'68.06 centralizat'!E90+'68.15.01-AJ SOC'!E90+'68.15.02-CANTINA'!E90+'68.50.50 rest DAS+CPFA'!E90</f>
        <v>0</v>
      </c>
      <c r="F90" s="422">
        <f>'68.04-PERS.VARSTNICE'!F90+'68.02.05 CUMULAT AP+SF.NIC'!F90+'68.06 centralizat'!F90+'68.15.01-AJ SOC'!F90+'68.15.02-CANTINA'!F90+'68.50.50 rest DAS+CPFA'!F90</f>
        <v>0</v>
      </c>
      <c r="G90" s="422">
        <f>'68.04-PERS.VARSTNICE'!G90+'68.02.05 CUMULAT AP+SF.NIC'!G90+'68.06 centralizat'!G90+'68.15.01-AJ SOC'!G90+'68.15.02-CANTINA'!G90+'68.50.50 rest DAS+CPFA'!G90</f>
        <v>0</v>
      </c>
      <c r="H90" s="422">
        <f>'68.04-PERS.VARSTNICE'!H90+'68.02.05 CUMULAT AP+SF.NIC'!H90+'68.06 centralizat'!H90+'68.15.01-AJ SOC'!H90+'68.15.02-CANTINA'!H90+'68.50.50 rest DAS+CPFA'!H90</f>
        <v>0</v>
      </c>
      <c r="I90" s="422">
        <f>'68.04-PERS.VARSTNICE'!I90+'68.02.05 CUMULAT AP+SF.NIC'!I90+'68.06 centralizat'!I90+'68.15.01-AJ SOC'!I90+'68.15.02-CANTINA'!I90+'68.50.50 rest DAS+CPFA'!I90</f>
        <v>0</v>
      </c>
      <c r="J90" s="422">
        <f>'68.04-PERS.VARSTNICE'!J90+'68.02.05 CUMULAT AP+SF.NIC'!J90+'68.06 centralizat'!J90+'68.15.01-AJ SOC'!J90+'68.15.02-CANTINA'!J90+'68.50.50 rest DAS+CPFA'!J90</f>
        <v>0</v>
      </c>
      <c r="K90" s="254"/>
      <c r="L90" s="94"/>
      <c r="M90" s="782"/>
    </row>
    <row r="91" spans="1:13" s="4" customFormat="1" ht="12.75" hidden="1" customHeight="1" thickBot="1" x14ac:dyDescent="0.25">
      <c r="A91" s="820">
        <v>81</v>
      </c>
      <c r="B91" s="428" t="s">
        <v>146</v>
      </c>
      <c r="C91" s="407" t="s">
        <v>147</v>
      </c>
      <c r="D91" s="422">
        <f>'68.04-PERS.VARSTNICE'!D91+'68.02.05 CUMULAT AP+SF.NIC'!D91+'68.06 centralizat'!D91+'68.15.01-AJ SOC'!D91+'68.15.02-CANTINA'!D91+'68.50.50 rest DAS+CPFA'!D91</f>
        <v>0</v>
      </c>
      <c r="E91" s="422">
        <f>'68.04-PERS.VARSTNICE'!E91+'68.02.05 CUMULAT AP+SF.NIC'!E91+'68.06 centralizat'!E91+'68.15.01-AJ SOC'!E91+'68.15.02-CANTINA'!E91+'68.50.50 rest DAS+CPFA'!E91</f>
        <v>0</v>
      </c>
      <c r="F91" s="422">
        <f>'68.04-PERS.VARSTNICE'!F91+'68.02.05 CUMULAT AP+SF.NIC'!F91+'68.06 centralizat'!F91+'68.15.01-AJ SOC'!F91+'68.15.02-CANTINA'!F91+'68.50.50 rest DAS+CPFA'!F91</f>
        <v>0</v>
      </c>
      <c r="G91" s="422">
        <f>'68.04-PERS.VARSTNICE'!G91+'68.02.05 CUMULAT AP+SF.NIC'!G91+'68.06 centralizat'!G91+'68.15.01-AJ SOC'!G91+'68.15.02-CANTINA'!G91+'68.50.50 rest DAS+CPFA'!G91</f>
        <v>0</v>
      </c>
      <c r="H91" s="422">
        <f>'68.04-PERS.VARSTNICE'!H91+'68.02.05 CUMULAT AP+SF.NIC'!H91+'68.06 centralizat'!H91+'68.15.01-AJ SOC'!H91+'68.15.02-CANTINA'!H91+'68.50.50 rest DAS+CPFA'!H91</f>
        <v>0</v>
      </c>
      <c r="I91" s="422">
        <f>'68.04-PERS.VARSTNICE'!I91+'68.02.05 CUMULAT AP+SF.NIC'!I91+'68.06 centralizat'!I91+'68.15.01-AJ SOC'!I91+'68.15.02-CANTINA'!I91+'68.50.50 rest DAS+CPFA'!I91</f>
        <v>0</v>
      </c>
      <c r="J91" s="422">
        <f>'68.04-PERS.VARSTNICE'!J91+'68.02.05 CUMULAT AP+SF.NIC'!J91+'68.06 centralizat'!J91+'68.15.01-AJ SOC'!J91+'68.15.02-CANTINA'!J91+'68.50.50 rest DAS+CPFA'!J91</f>
        <v>0</v>
      </c>
      <c r="K91" s="429"/>
      <c r="L91" s="430"/>
      <c r="M91" s="903"/>
    </row>
    <row r="92" spans="1:13" s="4" customFormat="1" ht="12.75" customHeight="1" thickBot="1" x14ac:dyDescent="0.25">
      <c r="A92" s="689">
        <v>82</v>
      </c>
      <c r="B92" s="55" t="s">
        <v>148</v>
      </c>
      <c r="C92" s="56" t="s">
        <v>149</v>
      </c>
      <c r="D92" s="422">
        <f>'68.04-PERS.VARSTNICE'!D92+'68.02.05 CUMULAT AP+SF.NIC'!D92+'68.06 centralizat'!D92+'68.15.01-AJ SOC'!D92+'68.15.02-CANTINA'!D92+'68.50.50 rest DAS+CPFA'!D92</f>
        <v>0</v>
      </c>
      <c r="E92" s="422">
        <f>'68.04-PERS.VARSTNICE'!E92+'68.02.05 CUMULAT AP+SF.NIC'!E92+'68.06 centralizat'!E92+'68.15.01-AJ SOC'!E92+'68.15.02-CANTINA'!E92+'68.50.50 rest DAS+CPFA'!E92</f>
        <v>0</v>
      </c>
      <c r="F92" s="422">
        <f>'68.04-PERS.VARSTNICE'!F92+'68.02.05 CUMULAT AP+SF.NIC'!F92+'68.06 centralizat'!F92+'68.15.01-AJ SOC'!F92+'68.15.02-CANTINA'!F92+'68.50.50 rest DAS+CPFA'!F92</f>
        <v>62601</v>
      </c>
      <c r="G92" s="422">
        <f>'68.04-PERS.VARSTNICE'!G92+'68.02.05 CUMULAT AP+SF.NIC'!G92+'68.06 centralizat'!G92+'68.15.01-AJ SOC'!G92+'68.15.02-CANTINA'!G92+'68.50.50 rest DAS+CPFA'!G92</f>
        <v>20482</v>
      </c>
      <c r="H92" s="422">
        <f>'68.04-PERS.VARSTNICE'!H92+'68.02.05 CUMULAT AP+SF.NIC'!H92+'68.06 centralizat'!H92+'68.15.01-AJ SOC'!H92+'68.15.02-CANTINA'!H92+'68.50.50 rest DAS+CPFA'!H92</f>
        <v>19469</v>
      </c>
      <c r="I92" s="422">
        <f>'68.04-PERS.VARSTNICE'!I92+'68.02.05 CUMULAT AP+SF.NIC'!I92+'68.06 centralizat'!I92+'68.15.01-AJ SOC'!I92+'68.15.02-CANTINA'!I92+'68.50.50 rest DAS+CPFA'!I92</f>
        <v>19702</v>
      </c>
      <c r="J92" s="422">
        <f>'68.04-PERS.VARSTNICE'!J92+'68.02.05 CUMULAT AP+SF.NIC'!J92+'68.06 centralizat'!J92+'68.15.01-AJ SOC'!J92+'68.15.02-CANTINA'!J92+'68.50.50 rest DAS+CPFA'!J92</f>
        <v>2948</v>
      </c>
      <c r="K92" s="427">
        <f>'68.04-PERS.VARSTNICE'!K91+'68.02.05 CUMULAT AP+SF.NIC'!K93+'68.06 centralizat'!K92+'68.12 CENTRALIZATOR'!K92+'68.15.01-AJ SOC'!K92+'68.15.02-CANTINA'!K92+'68.50.50 rest DAS+CPFA'!K92+1</f>
        <v>64465.241199999997</v>
      </c>
      <c r="L92" s="427">
        <f>'68.04-PERS.VARSTNICE'!L91+'68.02.05 CUMULAT AP+SF.NIC'!L93+'68.06 centralizat'!L92+'68.12 CENTRALIZATOR'!L92+'68.15.01-AJ SOC'!L92+'68.15.02-CANTINA'!L92+'68.50.50 rest DAS+CPFA'!L92+1</f>
        <v>66131.319099999993</v>
      </c>
      <c r="M92" s="1106">
        <f>'68.04-PERS.VARSTNICE'!M91+'68.02.05 CUMULAT AP+SF.NIC'!M93+'68.06 centralizat'!M92+'68.12 CENTRALIZATOR'!M92+'68.15.01-AJ SOC'!M92+'68.15.02-CANTINA'!M92+'68.50.50 rest DAS+CPFA'!M92</f>
        <v>67850.963160000014</v>
      </c>
    </row>
    <row r="93" spans="1:13" s="4" customFormat="1" ht="12.75" customHeight="1" thickBot="1" x14ac:dyDescent="0.25">
      <c r="A93" s="820">
        <v>83</v>
      </c>
      <c r="B93" s="115" t="s">
        <v>150</v>
      </c>
      <c r="C93" s="56" t="s">
        <v>151</v>
      </c>
      <c r="D93" s="422">
        <f>'68.04-PERS.VARSTNICE'!D93+'68.02.05 CUMULAT AP+SF.NIC'!D93+'68.06 centralizat'!D93+'68.15.01-AJ SOC'!D93+'68.15.02-CANTINA'!D93+'68.50.50 rest DAS+CPFA'!D93</f>
        <v>0</v>
      </c>
      <c r="E93" s="422">
        <f>'68.04-PERS.VARSTNICE'!E93+'68.02.05 CUMULAT AP+SF.NIC'!E93+'68.06 centralizat'!E93+'68.15.01-AJ SOC'!E93+'68.15.02-CANTINA'!E93+'68.50.50 rest DAS+CPFA'!E93</f>
        <v>0</v>
      </c>
      <c r="F93" s="422">
        <f>'68.04-PERS.VARSTNICE'!F93+'68.02.05 CUMULAT AP+SF.NIC'!F93+'68.06 centralizat'!F93+'68.15.01-AJ SOC'!F93+'68.15.02-CANTINA'!F93+'68.50.50 rest DAS+CPFA'!F93</f>
        <v>62601</v>
      </c>
      <c r="G93" s="422">
        <f>'68.04-PERS.VARSTNICE'!G93+'68.02.05 CUMULAT AP+SF.NIC'!G93+'68.06 centralizat'!G93+'68.15.01-AJ SOC'!G93+'68.15.02-CANTINA'!G93+'68.50.50 rest DAS+CPFA'!G93</f>
        <v>20482</v>
      </c>
      <c r="H93" s="422">
        <f>'68.04-PERS.VARSTNICE'!H93+'68.02.05 CUMULAT AP+SF.NIC'!H93+'68.06 centralizat'!H93+'68.15.01-AJ SOC'!H93+'68.15.02-CANTINA'!H93+'68.50.50 rest DAS+CPFA'!H93</f>
        <v>19469</v>
      </c>
      <c r="I93" s="422">
        <f>'68.04-PERS.VARSTNICE'!I93+'68.02.05 CUMULAT AP+SF.NIC'!I93+'68.06 centralizat'!I93+'68.15.01-AJ SOC'!I93+'68.15.02-CANTINA'!I93+'68.50.50 rest DAS+CPFA'!I93</f>
        <v>19702</v>
      </c>
      <c r="J93" s="422">
        <f>'68.04-PERS.VARSTNICE'!J93+'68.02.05 CUMULAT AP+SF.NIC'!J93+'68.06 centralizat'!J93+'68.15.01-AJ SOC'!J93+'68.15.02-CANTINA'!J93+'68.50.50 rest DAS+CPFA'!J93</f>
        <v>2948</v>
      </c>
      <c r="K93" s="57"/>
      <c r="L93" s="43"/>
      <c r="M93" s="771"/>
    </row>
    <row r="94" spans="1:13" s="4" customFormat="1" ht="12.75" customHeight="1" thickBot="1" x14ac:dyDescent="0.25">
      <c r="A94" s="689">
        <v>84</v>
      </c>
      <c r="B94" s="115" t="s">
        <v>152</v>
      </c>
      <c r="C94" s="56" t="s">
        <v>153</v>
      </c>
      <c r="D94" s="422">
        <f>'68.04-PERS.VARSTNICE'!D94+'68.02.05 CUMULAT AP+SF.NIC'!D94+'68.06 centralizat'!D94+'68.15.01-AJ SOC'!D94+'68.15.02-CANTINA'!D94+'68.50.50 rest DAS+CPFA'!D94</f>
        <v>0</v>
      </c>
      <c r="E94" s="422">
        <f>'68.04-PERS.VARSTNICE'!E94+'68.02.05 CUMULAT AP+SF.NIC'!E94+'68.06 centralizat'!E94+'68.15.01-AJ SOC'!E94+'68.15.02-CANTINA'!E94+'68.50.50 rest DAS+CPFA'!E94</f>
        <v>0</v>
      </c>
      <c r="F94" s="422">
        <f>'68.04-PERS.VARSTNICE'!F94+'68.02.05 CUMULAT AP+SF.NIC'!F94+'68.06 centralizat'!F94+'68.15.01-AJ SOC'!F94+'68.15.02-CANTINA'!F94+'68.50.50 rest DAS+CPFA'!F94</f>
        <v>54775</v>
      </c>
      <c r="G94" s="422">
        <f>'68.04-PERS.VARSTNICE'!G94+'68.02.05 CUMULAT AP+SF.NIC'!G94+'68.06 centralizat'!G94+'68.15.01-AJ SOC'!G94+'68.15.02-CANTINA'!G94+'68.50.50 rest DAS+CPFA'!G94</f>
        <v>17911</v>
      </c>
      <c r="H94" s="422">
        <f>'68.04-PERS.VARSTNICE'!H94+'68.02.05 CUMULAT AP+SF.NIC'!H94+'68.06 centralizat'!H94+'68.15.01-AJ SOC'!H94+'68.15.02-CANTINA'!H94+'68.50.50 rest DAS+CPFA'!H94</f>
        <v>18404</v>
      </c>
      <c r="I94" s="422">
        <f>'68.04-PERS.VARSTNICE'!I94+'68.02.05 CUMULAT AP+SF.NIC'!I94+'68.06 centralizat'!I94+'68.15.01-AJ SOC'!I94+'68.15.02-CANTINA'!I94+'68.50.50 rest DAS+CPFA'!I94</f>
        <v>18082</v>
      </c>
      <c r="J94" s="422">
        <f>'68.04-PERS.VARSTNICE'!J94+'68.02.05 CUMULAT AP+SF.NIC'!J94+'68.06 centralizat'!J94+'68.15.01-AJ SOC'!J94+'68.15.02-CANTINA'!J94+'68.50.50 rest DAS+CPFA'!J94</f>
        <v>378</v>
      </c>
      <c r="K94" s="57"/>
      <c r="L94" s="43"/>
      <c r="M94" s="771"/>
    </row>
    <row r="95" spans="1:13" s="4" customFormat="1" ht="12.75" customHeight="1" thickBot="1" x14ac:dyDescent="0.25">
      <c r="A95" s="820">
        <v>85</v>
      </c>
      <c r="B95" s="116" t="s">
        <v>154</v>
      </c>
      <c r="C95" s="41"/>
      <c r="D95" s="422">
        <f>'68.04-PERS.VARSTNICE'!D95+'68.02.05 CUMULAT AP+SF.NIC'!D95+'68.06 centralizat'!D95+'68.15.01-AJ SOC'!D95+'68.15.02-CANTINA'!D95+'68.50.50 rest DAS+CPFA'!D95</f>
        <v>0</v>
      </c>
      <c r="E95" s="422">
        <f>'68.04-PERS.VARSTNICE'!E95+'68.02.05 CUMULAT AP+SF.NIC'!E95+'68.06 centralizat'!E95+'68.15.01-AJ SOC'!E95+'68.15.02-CANTINA'!E95+'68.50.50 rest DAS+CPFA'!E95</f>
        <v>0</v>
      </c>
      <c r="F95" s="422">
        <f>'68.04-PERS.VARSTNICE'!F95+'68.02.05 CUMULAT AP+SF.NIC'!F95+'68.06 centralizat'!F95+'68.15.01-AJ SOC'!F95+'68.15.02-CANTINA'!F95+'68.50.50 rest DAS+CPFA'!F95</f>
        <v>51809</v>
      </c>
      <c r="G95" s="422">
        <f>'68.04-PERS.VARSTNICE'!G95+'68.02.05 CUMULAT AP+SF.NIC'!G95+'68.06 centralizat'!G95+'68.15.01-AJ SOC'!G95+'68.15.02-CANTINA'!G95+'68.50.50 rest DAS+CPFA'!G95</f>
        <v>17046</v>
      </c>
      <c r="H95" s="422">
        <f>'68.04-PERS.VARSTNICE'!H95+'68.02.05 CUMULAT AP+SF.NIC'!H95+'68.06 centralizat'!H95+'68.15.01-AJ SOC'!H95+'68.15.02-CANTINA'!H95+'68.50.50 rest DAS+CPFA'!H95</f>
        <v>17632</v>
      </c>
      <c r="I95" s="422">
        <f>'68.04-PERS.VARSTNICE'!I95+'68.02.05 CUMULAT AP+SF.NIC'!I95+'68.06 centralizat'!I95+'68.15.01-AJ SOC'!I95+'68.15.02-CANTINA'!I95+'68.50.50 rest DAS+CPFA'!I95</f>
        <v>17131</v>
      </c>
      <c r="J95" s="422">
        <f>'68.04-PERS.VARSTNICE'!J95+'68.02.05 CUMULAT AP+SF.NIC'!J95+'68.06 centralizat'!J95+'68.15.01-AJ SOC'!J95+'68.15.02-CANTINA'!J95+'68.50.50 rest DAS+CPFA'!J95</f>
        <v>0</v>
      </c>
      <c r="K95" s="371"/>
      <c r="L95" s="43"/>
      <c r="M95" s="771"/>
    </row>
    <row r="96" spans="1:13" s="4" customFormat="1" ht="12.75" customHeight="1" thickBot="1" x14ac:dyDescent="0.25">
      <c r="A96" s="689">
        <v>86</v>
      </c>
      <c r="B96" s="116" t="s">
        <v>296</v>
      </c>
      <c r="C96" s="41"/>
      <c r="D96" s="422">
        <f>'68.04-PERS.VARSTNICE'!D96+'68.02.05 CUMULAT AP+SF.NIC'!D96+'68.06 centralizat'!D96+'68.15.01-AJ SOC'!D96+'68.15.02-CANTINA'!D96+'68.50.50 rest DAS+CPFA'!D96</f>
        <v>0</v>
      </c>
      <c r="E96" s="422">
        <f>'68.04-PERS.VARSTNICE'!E96+'68.02.05 CUMULAT AP+SF.NIC'!E96+'68.06 centralizat'!E96+'68.15.01-AJ SOC'!E96+'68.15.02-CANTINA'!E96+'68.50.50 rest DAS+CPFA'!E96</f>
        <v>0</v>
      </c>
      <c r="F96" s="422">
        <f>'68.04-PERS.VARSTNICE'!F96+'68.02.05 CUMULAT AP+SF.NIC'!F96+'68.06 centralizat'!F96+'68.15.01-AJ SOC'!F96+'68.15.02-CANTINA'!F96+'68.50.50 rest DAS+CPFA'!F96</f>
        <v>1107</v>
      </c>
      <c r="G96" s="422">
        <f>'68.04-PERS.VARSTNICE'!G96+'68.02.05 CUMULAT AP+SF.NIC'!G96+'68.06 centralizat'!G96+'68.15.01-AJ SOC'!G96+'68.15.02-CANTINA'!G96+'68.50.50 rest DAS+CPFA'!G96</f>
        <v>148</v>
      </c>
      <c r="H96" s="422">
        <f>'68.04-PERS.VARSTNICE'!H96+'68.02.05 CUMULAT AP+SF.NIC'!H96+'68.06 centralizat'!H96+'68.15.01-AJ SOC'!H96+'68.15.02-CANTINA'!H96+'68.50.50 rest DAS+CPFA'!H96</f>
        <v>389</v>
      </c>
      <c r="I96" s="422">
        <f>'68.04-PERS.VARSTNICE'!I96+'68.02.05 CUMULAT AP+SF.NIC'!I96+'68.06 centralizat'!I96+'68.15.01-AJ SOC'!I96+'68.15.02-CANTINA'!I96+'68.50.50 rest DAS+CPFA'!I96</f>
        <v>570</v>
      </c>
      <c r="J96" s="422">
        <f>'68.04-PERS.VARSTNICE'!J96+'68.02.05 CUMULAT AP+SF.NIC'!J96+'68.06 centralizat'!J96+'68.15.01-AJ SOC'!J96+'68.15.02-CANTINA'!J96+'68.50.50 rest DAS+CPFA'!J96</f>
        <v>0</v>
      </c>
      <c r="K96" s="371"/>
      <c r="L96" s="43"/>
      <c r="M96" s="771"/>
    </row>
    <row r="97" spans="1:13" s="4" customFormat="1" ht="12.75" hidden="1" customHeight="1" thickBot="1" x14ac:dyDescent="0.25">
      <c r="A97" s="820">
        <v>87</v>
      </c>
      <c r="B97" s="116" t="s">
        <v>156</v>
      </c>
      <c r="C97" s="41"/>
      <c r="D97" s="422">
        <f>'68.04-PERS.VARSTNICE'!D97+'68.02.05 CUMULAT AP+SF.NIC'!D97+'68.06 centralizat'!D97+'68.15.01-AJ SOC'!D97+'68.15.02-CANTINA'!D97+'68.50.50 rest DAS+CPFA'!D97</f>
        <v>0</v>
      </c>
      <c r="E97" s="422">
        <f>'68.04-PERS.VARSTNICE'!E97+'68.02.05 CUMULAT AP+SF.NIC'!E97+'68.06 centralizat'!E97+'68.15.01-AJ SOC'!E97+'68.15.02-CANTINA'!E97+'68.50.50 rest DAS+CPFA'!E97</f>
        <v>0</v>
      </c>
      <c r="F97" s="422">
        <f>'68.04-PERS.VARSTNICE'!F97+'68.02.05 CUMULAT AP+SF.NIC'!F97+'68.06 centralizat'!F97+'68.15.01-AJ SOC'!F97+'68.15.02-CANTINA'!F97+'68.50.50 rest DAS+CPFA'!F97</f>
        <v>0</v>
      </c>
      <c r="G97" s="422">
        <f>'68.04-PERS.VARSTNICE'!G97+'68.02.05 CUMULAT AP+SF.NIC'!G97+'68.06 centralizat'!G97+'68.15.01-AJ SOC'!G97+'68.15.02-CANTINA'!G97+'68.50.50 rest DAS+CPFA'!G97</f>
        <v>0</v>
      </c>
      <c r="H97" s="422">
        <f>'68.04-PERS.VARSTNICE'!H97+'68.02.05 CUMULAT AP+SF.NIC'!H97+'68.06 centralizat'!H97+'68.15.01-AJ SOC'!H97+'68.15.02-CANTINA'!H97+'68.50.50 rest DAS+CPFA'!H97</f>
        <v>0</v>
      </c>
      <c r="I97" s="422">
        <f>'68.04-PERS.VARSTNICE'!I97+'68.02.05 CUMULAT AP+SF.NIC'!I97+'68.06 centralizat'!I97+'68.15.01-AJ SOC'!I97+'68.15.02-CANTINA'!I97+'68.50.50 rest DAS+CPFA'!I97</f>
        <v>0</v>
      </c>
      <c r="J97" s="422">
        <f>'68.04-PERS.VARSTNICE'!J97+'68.02.05 CUMULAT AP+SF.NIC'!J97+'68.06 centralizat'!J97+'68.15.01-AJ SOC'!J97+'68.15.02-CANTINA'!J97+'68.50.50 rest DAS+CPFA'!J97</f>
        <v>0</v>
      </c>
      <c r="K97" s="371"/>
      <c r="L97" s="43"/>
      <c r="M97" s="771"/>
    </row>
    <row r="98" spans="1:13" s="4" customFormat="1" ht="13.5" customHeight="1" thickBot="1" x14ac:dyDescent="0.25">
      <c r="A98" s="689">
        <v>88</v>
      </c>
      <c r="B98" s="330" t="s">
        <v>297</v>
      </c>
      <c r="C98" s="41"/>
      <c r="D98" s="422">
        <f>'68.04-PERS.VARSTNICE'!D98+'68.02.05 CUMULAT AP+SF.NIC'!D98+'68.06 centralizat'!D98+'68.15.01-AJ SOC'!D98+'68.15.02-CANTINA'!D98+'68.50.50 rest DAS+CPFA'!D98</f>
        <v>0</v>
      </c>
      <c r="E98" s="422">
        <f>'68.04-PERS.VARSTNICE'!E98+'68.02.05 CUMULAT AP+SF.NIC'!E98+'68.06 centralizat'!E98+'68.15.01-AJ SOC'!E98+'68.15.02-CANTINA'!E98+'68.50.50 rest DAS+CPFA'!E98</f>
        <v>0</v>
      </c>
      <c r="F98" s="422">
        <f>'68.04-PERS.VARSTNICE'!F98+'68.02.05 CUMULAT AP+SF.NIC'!F98+'68.06 centralizat'!F98+'68.15.01-AJ SOC'!F98+'68.15.02-CANTINA'!F98+'68.50.50 rest DAS+CPFA'!F98</f>
        <v>300</v>
      </c>
      <c r="G98" s="422">
        <f>'68.04-PERS.VARSTNICE'!G98+'68.02.05 CUMULAT AP+SF.NIC'!G98+'68.06 centralizat'!G98+'68.15.01-AJ SOC'!G98+'68.15.02-CANTINA'!G98+'68.50.50 rest DAS+CPFA'!G98</f>
        <v>270</v>
      </c>
      <c r="H98" s="422">
        <f>'68.04-PERS.VARSTNICE'!H98+'68.02.05 CUMULAT AP+SF.NIC'!H98+'68.06 centralizat'!H98+'68.15.01-AJ SOC'!H98+'68.15.02-CANTINA'!H98+'68.50.50 rest DAS+CPFA'!H98</f>
        <v>10</v>
      </c>
      <c r="I98" s="422">
        <f>'68.04-PERS.VARSTNICE'!I98+'68.02.05 CUMULAT AP+SF.NIC'!I98+'68.06 centralizat'!I98+'68.15.01-AJ SOC'!I98+'68.15.02-CANTINA'!I98+'68.50.50 rest DAS+CPFA'!I98</f>
        <v>10</v>
      </c>
      <c r="J98" s="422">
        <f>'68.04-PERS.VARSTNICE'!J98+'68.02.05 CUMULAT AP+SF.NIC'!J98+'68.06 centralizat'!J98+'68.15.01-AJ SOC'!J98+'68.15.02-CANTINA'!J98+'68.50.50 rest DAS+CPFA'!J98</f>
        <v>10</v>
      </c>
      <c r="K98" s="371"/>
      <c r="L98" s="43"/>
      <c r="M98" s="771"/>
    </row>
    <row r="99" spans="1:13" s="4" customFormat="1" ht="12.75" hidden="1" customHeight="1" thickBot="1" x14ac:dyDescent="0.25">
      <c r="A99" s="820">
        <v>89</v>
      </c>
      <c r="B99" s="176" t="s">
        <v>158</v>
      </c>
      <c r="C99" s="41"/>
      <c r="D99" s="422">
        <f>'68.04-PERS.VARSTNICE'!D99+'68.02.05 CUMULAT AP+SF.NIC'!D99+'68.06 centralizat'!D99+'68.15.01-AJ SOC'!D99+'68.15.02-CANTINA'!D99+'68.50.50 rest DAS+CPFA'!D99</f>
        <v>0</v>
      </c>
      <c r="E99" s="422">
        <f>'68.04-PERS.VARSTNICE'!E99+'68.02.05 CUMULAT AP+SF.NIC'!E99+'68.06 centralizat'!E99+'68.15.01-AJ SOC'!E99+'68.15.02-CANTINA'!E99+'68.50.50 rest DAS+CPFA'!E99</f>
        <v>0</v>
      </c>
      <c r="F99" s="422">
        <f>'68.04-PERS.VARSTNICE'!F99+'68.02.05 CUMULAT AP+SF.NIC'!F99+'68.06 centralizat'!F99+'68.15.01-AJ SOC'!F99+'68.15.02-CANTINA'!F99+'68.50.50 rest DAS+CPFA'!F99</f>
        <v>0</v>
      </c>
      <c r="G99" s="422">
        <f>'68.04-PERS.VARSTNICE'!G99+'68.02.05 CUMULAT AP+SF.NIC'!G99+'68.06 centralizat'!G99+'68.15.01-AJ SOC'!G99+'68.15.02-CANTINA'!G99+'68.50.50 rest DAS+CPFA'!G99</f>
        <v>0</v>
      </c>
      <c r="H99" s="422">
        <f>'68.04-PERS.VARSTNICE'!H99+'68.02.05 CUMULAT AP+SF.NIC'!H99+'68.06 centralizat'!H99+'68.15.01-AJ SOC'!H99+'68.15.02-CANTINA'!H99+'68.50.50 rest DAS+CPFA'!H99</f>
        <v>0</v>
      </c>
      <c r="I99" s="422">
        <f>'68.04-PERS.VARSTNICE'!I99+'68.02.05 CUMULAT AP+SF.NIC'!I99+'68.06 centralizat'!I99+'68.15.01-AJ SOC'!I99+'68.15.02-CANTINA'!I99+'68.50.50 rest DAS+CPFA'!I99</f>
        <v>0</v>
      </c>
      <c r="J99" s="422">
        <f>'68.04-PERS.VARSTNICE'!J99+'68.02.05 CUMULAT AP+SF.NIC'!J99+'68.06 centralizat'!J99+'68.15.01-AJ SOC'!J99+'68.15.02-CANTINA'!J99+'68.50.50 rest DAS+CPFA'!J99</f>
        <v>0</v>
      </c>
      <c r="K99" s="371"/>
      <c r="L99" s="43"/>
      <c r="M99" s="771"/>
    </row>
    <row r="100" spans="1:13" s="4" customFormat="1" ht="12.75" customHeight="1" thickBot="1" x14ac:dyDescent="0.25">
      <c r="A100" s="689">
        <v>90</v>
      </c>
      <c r="B100" s="121" t="s">
        <v>335</v>
      </c>
      <c r="C100" s="41"/>
      <c r="D100" s="422">
        <f>'68.04-PERS.VARSTNICE'!D100+'68.02.05 CUMULAT AP+SF.NIC'!D100+'68.06 centralizat'!D100+'68.15.01-AJ SOC'!D100+'68.15.02-CANTINA'!D100+'68.50.50 rest DAS+CPFA'!D100</f>
        <v>0</v>
      </c>
      <c r="E100" s="422">
        <f>'68.04-PERS.VARSTNICE'!E100+'68.02.05 CUMULAT AP+SF.NIC'!E100+'68.06 centralizat'!E100+'68.15.01-AJ SOC'!E100+'68.15.02-CANTINA'!E100+'68.50.50 rest DAS+CPFA'!E100</f>
        <v>0</v>
      </c>
      <c r="F100" s="422">
        <f>'68.04-PERS.VARSTNICE'!F100+'68.02.05 CUMULAT AP+SF.NIC'!F100+'68.06 centralizat'!F100+'68.15.01-AJ SOC'!F100+'68.15.02-CANTINA'!F100+'68.50.50 rest DAS+CPFA'!F100</f>
        <v>95</v>
      </c>
      <c r="G100" s="422">
        <f>'68.04-PERS.VARSTNICE'!G100+'68.02.05 CUMULAT AP+SF.NIC'!G100+'68.06 centralizat'!G100+'68.15.01-AJ SOC'!G100+'68.15.02-CANTINA'!G100+'68.50.50 rest DAS+CPFA'!G100</f>
        <v>77</v>
      </c>
      <c r="H100" s="422">
        <f>'68.04-PERS.VARSTNICE'!H100+'68.02.05 CUMULAT AP+SF.NIC'!H100+'68.06 centralizat'!H100+'68.15.01-AJ SOC'!H100+'68.15.02-CANTINA'!H100+'68.50.50 rest DAS+CPFA'!H100</f>
        <v>6</v>
      </c>
      <c r="I100" s="422">
        <f>'68.04-PERS.VARSTNICE'!I100+'68.02.05 CUMULAT AP+SF.NIC'!I100+'68.06 centralizat'!I100+'68.15.01-AJ SOC'!I100+'68.15.02-CANTINA'!I100+'68.50.50 rest DAS+CPFA'!I100</f>
        <v>6</v>
      </c>
      <c r="J100" s="422">
        <f>'68.04-PERS.VARSTNICE'!J100+'68.02.05 CUMULAT AP+SF.NIC'!J100+'68.06 centralizat'!J100+'68.15.01-AJ SOC'!J100+'68.15.02-CANTINA'!J100+'68.50.50 rest DAS+CPFA'!J100</f>
        <v>6</v>
      </c>
      <c r="K100" s="371"/>
      <c r="L100" s="43"/>
      <c r="M100" s="771"/>
    </row>
    <row r="101" spans="1:13" s="4" customFormat="1" ht="12.75" customHeight="1" thickBot="1" x14ac:dyDescent="0.25">
      <c r="A101" s="820">
        <v>91</v>
      </c>
      <c r="B101" s="122" t="s">
        <v>160</v>
      </c>
      <c r="C101" s="41"/>
      <c r="D101" s="422">
        <f>'68.04-PERS.VARSTNICE'!D101+'68.02.05 CUMULAT AP+SF.NIC'!D101+'68.06 centralizat'!D101+'68.15.01-AJ SOC'!D101+'68.15.02-CANTINA'!D101+'68.50.50 rest DAS+CPFA'!D101</f>
        <v>0</v>
      </c>
      <c r="E101" s="422">
        <f>'68.04-PERS.VARSTNICE'!E101+'68.02.05 CUMULAT AP+SF.NIC'!E101+'68.06 centralizat'!E101+'68.15.01-AJ SOC'!E101+'68.15.02-CANTINA'!E101+'68.50.50 rest DAS+CPFA'!E101</f>
        <v>0</v>
      </c>
      <c r="F101" s="422">
        <f>'68.04-PERS.VARSTNICE'!F101+'68.02.05 CUMULAT AP+SF.NIC'!F101+'68.06 centralizat'!F101+'68.15.01-AJ SOC'!F101+'68.15.02-CANTINA'!F101+'68.50.50 rest DAS+CPFA'!F101</f>
        <v>21</v>
      </c>
      <c r="G101" s="422">
        <f>'68.04-PERS.VARSTNICE'!G101+'68.02.05 CUMULAT AP+SF.NIC'!G101+'68.06 centralizat'!G101+'68.15.01-AJ SOC'!G101+'68.15.02-CANTINA'!G101+'68.50.50 rest DAS+CPFA'!G101</f>
        <v>6</v>
      </c>
      <c r="H101" s="422">
        <f>'68.04-PERS.VARSTNICE'!H101+'68.02.05 CUMULAT AP+SF.NIC'!H101+'68.06 centralizat'!H101+'68.15.01-AJ SOC'!H101+'68.15.02-CANTINA'!H101+'68.50.50 rest DAS+CPFA'!H101</f>
        <v>5</v>
      </c>
      <c r="I101" s="422">
        <f>'68.04-PERS.VARSTNICE'!I101+'68.02.05 CUMULAT AP+SF.NIC'!I101+'68.06 centralizat'!I101+'68.15.01-AJ SOC'!I101+'68.15.02-CANTINA'!I101+'68.50.50 rest DAS+CPFA'!I101</f>
        <v>5</v>
      </c>
      <c r="J101" s="422">
        <f>'68.04-PERS.VARSTNICE'!J101+'68.02.05 CUMULAT AP+SF.NIC'!J101+'68.06 centralizat'!J101+'68.15.01-AJ SOC'!J101+'68.15.02-CANTINA'!J101+'68.50.50 rest DAS+CPFA'!J101</f>
        <v>5</v>
      </c>
      <c r="K101" s="371"/>
      <c r="L101" s="43"/>
      <c r="M101" s="771"/>
    </row>
    <row r="102" spans="1:13" s="4" customFormat="1" ht="12.75" customHeight="1" thickBot="1" x14ac:dyDescent="0.25">
      <c r="A102" s="689">
        <v>92</v>
      </c>
      <c r="B102" s="122" t="s">
        <v>161</v>
      </c>
      <c r="C102" s="41"/>
      <c r="D102" s="422">
        <f>'68.04-PERS.VARSTNICE'!D102+'68.02.05 CUMULAT AP+SF.NIC'!D102+'68.06 centralizat'!D102+'68.15.01-AJ SOC'!D102+'68.15.02-CANTINA'!D102+'68.50.50 rest DAS+CPFA'!D102</f>
        <v>0</v>
      </c>
      <c r="E102" s="422">
        <f>'68.04-PERS.VARSTNICE'!E102+'68.02.05 CUMULAT AP+SF.NIC'!E102+'68.06 centralizat'!E102+'68.15.01-AJ SOC'!E102+'68.15.02-CANTINA'!E102+'68.50.50 rest DAS+CPFA'!E102</f>
        <v>0</v>
      </c>
      <c r="F102" s="422">
        <f>'68.04-PERS.VARSTNICE'!F102+'68.02.05 CUMULAT AP+SF.NIC'!F102+'68.06 centralizat'!F102+'68.15.01-AJ SOC'!F102+'68.15.02-CANTINA'!F102+'68.50.50 rest DAS+CPFA'!F102</f>
        <v>8</v>
      </c>
      <c r="G102" s="422">
        <f>'68.04-PERS.VARSTNICE'!G102+'68.02.05 CUMULAT AP+SF.NIC'!G102+'68.06 centralizat'!G102+'68.15.01-AJ SOC'!G102+'68.15.02-CANTINA'!G102+'68.50.50 rest DAS+CPFA'!G102</f>
        <v>2</v>
      </c>
      <c r="H102" s="422">
        <f>'68.04-PERS.VARSTNICE'!H102+'68.02.05 CUMULAT AP+SF.NIC'!H102+'68.06 centralizat'!H102+'68.15.01-AJ SOC'!H102+'68.15.02-CANTINA'!H102+'68.50.50 rest DAS+CPFA'!H102</f>
        <v>2</v>
      </c>
      <c r="I102" s="422">
        <f>'68.04-PERS.VARSTNICE'!I102+'68.02.05 CUMULAT AP+SF.NIC'!I102+'68.06 centralizat'!I102+'68.15.01-AJ SOC'!I102+'68.15.02-CANTINA'!I102+'68.50.50 rest DAS+CPFA'!I102</f>
        <v>2</v>
      </c>
      <c r="J102" s="422">
        <f>'68.04-PERS.VARSTNICE'!J102+'68.02.05 CUMULAT AP+SF.NIC'!J102+'68.06 centralizat'!J102+'68.15.01-AJ SOC'!J102+'68.15.02-CANTINA'!J102+'68.50.50 rest DAS+CPFA'!J102</f>
        <v>2</v>
      </c>
      <c r="K102" s="57"/>
      <c r="L102" s="43"/>
      <c r="M102" s="771"/>
    </row>
    <row r="103" spans="1:13" s="4" customFormat="1" ht="12.75" customHeight="1" thickBot="1" x14ac:dyDescent="0.25">
      <c r="A103" s="820">
        <v>93</v>
      </c>
      <c r="B103" s="320" t="s">
        <v>162</v>
      </c>
      <c r="C103" s="41"/>
      <c r="D103" s="422">
        <f>'68.04-PERS.VARSTNICE'!D103+'68.02.05 CUMULAT AP+SF.NIC'!D103+'68.06 centralizat'!D103+'68.15.01-AJ SOC'!D103+'68.15.02-CANTINA'!D103+'68.50.50 rest DAS+CPFA'!D103</f>
        <v>0</v>
      </c>
      <c r="E103" s="422">
        <f>'68.04-PERS.VARSTNICE'!E103+'68.02.05 CUMULAT AP+SF.NIC'!E103+'68.06 centralizat'!E103+'68.15.01-AJ SOC'!E103+'68.15.02-CANTINA'!E103+'68.50.50 rest DAS+CPFA'!E103</f>
        <v>0</v>
      </c>
      <c r="F103" s="422">
        <f>'68.04-PERS.VARSTNICE'!F103+'68.02.05 CUMULAT AP+SF.NIC'!F103+'68.06 centralizat'!F103+'68.15.01-AJ SOC'!F103+'68.15.02-CANTINA'!F103+'68.50.50 rest DAS+CPFA'!F103</f>
        <v>270</v>
      </c>
      <c r="G103" s="422">
        <f>'68.04-PERS.VARSTNICE'!G103+'68.02.05 CUMULAT AP+SF.NIC'!G103+'68.06 centralizat'!G103+'68.15.01-AJ SOC'!G103+'68.15.02-CANTINA'!G103+'68.50.50 rest DAS+CPFA'!G103</f>
        <v>68</v>
      </c>
      <c r="H103" s="422">
        <f>'68.04-PERS.VARSTNICE'!H103+'68.02.05 CUMULAT AP+SF.NIC'!H103+'68.06 centralizat'!H103+'68.15.01-AJ SOC'!H103+'68.15.02-CANTINA'!H103+'68.50.50 rest DAS+CPFA'!H103</f>
        <v>68</v>
      </c>
      <c r="I103" s="422">
        <f>'68.04-PERS.VARSTNICE'!I103+'68.02.05 CUMULAT AP+SF.NIC'!I103+'68.06 centralizat'!I103+'68.15.01-AJ SOC'!I103+'68.15.02-CANTINA'!I103+'68.50.50 rest DAS+CPFA'!I103</f>
        <v>67</v>
      </c>
      <c r="J103" s="422">
        <f>'68.04-PERS.VARSTNICE'!J103+'68.02.05 CUMULAT AP+SF.NIC'!J103+'68.06 centralizat'!J103+'68.15.01-AJ SOC'!J103+'68.15.02-CANTINA'!J103+'68.50.50 rest DAS+CPFA'!J103</f>
        <v>67</v>
      </c>
      <c r="K103" s="57"/>
      <c r="L103" s="43"/>
      <c r="M103" s="771"/>
    </row>
    <row r="104" spans="1:13" s="4" customFormat="1" ht="12.75" hidden="1" customHeight="1" thickBot="1" x14ac:dyDescent="0.25">
      <c r="A104" s="689">
        <v>94</v>
      </c>
      <c r="B104" s="122" t="s">
        <v>163</v>
      </c>
      <c r="C104" s="41"/>
      <c r="D104" s="422">
        <f>'68.04-PERS.VARSTNICE'!D104+'68.02.05 CUMULAT AP+SF.NIC'!D104+'68.06 centralizat'!D104+'68.15.01-AJ SOC'!D104+'68.15.02-CANTINA'!D104+'68.50.50 rest DAS+CPFA'!D104</f>
        <v>0</v>
      </c>
      <c r="E104" s="422">
        <f>'68.04-PERS.VARSTNICE'!E104+'68.02.05 CUMULAT AP+SF.NIC'!E104+'68.06 centralizat'!E104+'68.15.01-AJ SOC'!E104+'68.15.02-CANTINA'!E104+'68.50.50 rest DAS+CPFA'!E104</f>
        <v>0</v>
      </c>
      <c r="F104" s="422">
        <f>'68.04-PERS.VARSTNICE'!F104+'68.02.05 CUMULAT AP+SF.NIC'!F104+'68.06 centralizat'!F104+'68.15.01-AJ SOC'!F104+'68.15.02-CANTINA'!F104+'68.50.50 rest DAS+CPFA'!F104</f>
        <v>0</v>
      </c>
      <c r="G104" s="422">
        <f>'68.04-PERS.VARSTNICE'!G104+'68.02.05 CUMULAT AP+SF.NIC'!G104+'68.06 centralizat'!G104+'68.15.01-AJ SOC'!G104+'68.15.02-CANTINA'!G104+'68.50.50 rest DAS+CPFA'!G104</f>
        <v>0</v>
      </c>
      <c r="H104" s="422">
        <f>'68.04-PERS.VARSTNICE'!H104+'68.02.05 CUMULAT AP+SF.NIC'!H104+'68.06 centralizat'!H104+'68.15.01-AJ SOC'!H104+'68.15.02-CANTINA'!H104+'68.50.50 rest DAS+CPFA'!H104</f>
        <v>0</v>
      </c>
      <c r="I104" s="422">
        <f>'68.04-PERS.VARSTNICE'!I104+'68.02.05 CUMULAT AP+SF.NIC'!I104+'68.06 centralizat'!I104+'68.15.01-AJ SOC'!I104+'68.15.02-CANTINA'!I104+'68.50.50 rest DAS+CPFA'!I104</f>
        <v>0</v>
      </c>
      <c r="J104" s="422">
        <f>'68.04-PERS.VARSTNICE'!J104+'68.02.05 CUMULAT AP+SF.NIC'!J104+'68.06 centralizat'!J104+'68.15.01-AJ SOC'!J104+'68.15.02-CANTINA'!J104+'68.50.50 rest DAS+CPFA'!J104</f>
        <v>0</v>
      </c>
      <c r="K104" s="57"/>
      <c r="L104" s="43"/>
      <c r="M104" s="771"/>
    </row>
    <row r="105" spans="1:13" s="4" customFormat="1" ht="12.75" customHeight="1" thickBot="1" x14ac:dyDescent="0.25">
      <c r="A105" s="820">
        <v>95</v>
      </c>
      <c r="B105" s="122" t="s">
        <v>164</v>
      </c>
      <c r="C105" s="41"/>
      <c r="D105" s="422">
        <f>'68.04-PERS.VARSTNICE'!D105+'68.02.05 CUMULAT AP+SF.NIC'!D105+'68.06 centralizat'!D105+'68.15.01-AJ SOC'!D105+'68.15.02-CANTINA'!D105+'68.50.50 rest DAS+CPFA'!D105</f>
        <v>0</v>
      </c>
      <c r="E105" s="422">
        <f>'68.04-PERS.VARSTNICE'!E105+'68.02.05 CUMULAT AP+SF.NIC'!E105+'68.06 centralizat'!E105+'68.15.01-AJ SOC'!E105+'68.15.02-CANTINA'!E105+'68.50.50 rest DAS+CPFA'!E105</f>
        <v>0</v>
      </c>
      <c r="F105" s="422">
        <f>'68.04-PERS.VARSTNICE'!F105+'68.02.05 CUMULAT AP+SF.NIC'!F105+'68.06 centralizat'!F105+'68.15.01-AJ SOC'!F105+'68.15.02-CANTINA'!F105+'68.50.50 rest DAS+CPFA'!F105</f>
        <v>1071</v>
      </c>
      <c r="G105" s="422">
        <f>'68.04-PERS.VARSTNICE'!G105+'68.02.05 CUMULAT AP+SF.NIC'!G105+'68.06 centralizat'!G105+'68.15.01-AJ SOC'!G105+'68.15.02-CANTINA'!G105+'68.50.50 rest DAS+CPFA'!G105</f>
        <v>270</v>
      </c>
      <c r="H105" s="422">
        <f>'68.04-PERS.VARSTNICE'!H105+'68.02.05 CUMULAT AP+SF.NIC'!H105+'68.06 centralizat'!H105+'68.15.01-AJ SOC'!H105+'68.15.02-CANTINA'!H105+'68.50.50 rest DAS+CPFA'!H105</f>
        <v>268</v>
      </c>
      <c r="I105" s="422">
        <f>'68.04-PERS.VARSTNICE'!I105+'68.02.05 CUMULAT AP+SF.NIC'!I105+'68.06 centralizat'!I105+'68.15.01-AJ SOC'!I105+'68.15.02-CANTINA'!I105+'68.50.50 rest DAS+CPFA'!I105</f>
        <v>268</v>
      </c>
      <c r="J105" s="422">
        <f>'68.04-PERS.VARSTNICE'!J105+'68.02.05 CUMULAT AP+SF.NIC'!J105+'68.06 centralizat'!J105+'68.15.01-AJ SOC'!J105+'68.15.02-CANTINA'!J105+'68.50.50 rest DAS+CPFA'!J105</f>
        <v>265</v>
      </c>
      <c r="K105" s="57"/>
      <c r="L105" s="43"/>
      <c r="M105" s="771"/>
    </row>
    <row r="106" spans="1:13" s="4" customFormat="1" ht="12.75" customHeight="1" thickBot="1" x14ac:dyDescent="0.25">
      <c r="A106" s="689">
        <v>96</v>
      </c>
      <c r="B106" s="122" t="s">
        <v>270</v>
      </c>
      <c r="C106" s="41"/>
      <c r="D106" s="422">
        <f>'68.04-PERS.VARSTNICE'!D106+'68.02.05 CUMULAT AP+SF.NIC'!D106+'68.06 centralizat'!D106+'68.15.01-AJ SOC'!D106+'68.15.02-CANTINA'!D106+'68.50.50 rest DAS+CPFA'!D106</f>
        <v>0</v>
      </c>
      <c r="E106" s="422">
        <f>'68.04-PERS.VARSTNICE'!E106+'68.02.05 CUMULAT AP+SF.NIC'!E106+'68.06 centralizat'!E106+'68.15.01-AJ SOC'!E106+'68.15.02-CANTINA'!E106+'68.50.50 rest DAS+CPFA'!E106</f>
        <v>0</v>
      </c>
      <c r="F106" s="422">
        <f>'68.04-PERS.VARSTNICE'!F106+'68.02.05 CUMULAT AP+SF.NIC'!F106+'68.06 centralizat'!F106+'68.15.01-AJ SOC'!F106+'68.15.02-CANTINA'!F106+'68.50.50 rest DAS+CPFA'!F106</f>
        <v>94</v>
      </c>
      <c r="G106" s="422">
        <f>'68.04-PERS.VARSTNICE'!G106+'68.02.05 CUMULAT AP+SF.NIC'!G106+'68.06 centralizat'!G106+'68.15.01-AJ SOC'!G106+'68.15.02-CANTINA'!G106+'68.50.50 rest DAS+CPFA'!G106</f>
        <v>24</v>
      </c>
      <c r="H106" s="422">
        <f>'68.04-PERS.VARSTNICE'!H106+'68.02.05 CUMULAT AP+SF.NIC'!H106+'68.06 centralizat'!H106+'68.15.01-AJ SOC'!H106+'68.15.02-CANTINA'!H106+'68.50.50 rest DAS+CPFA'!H106</f>
        <v>24</v>
      </c>
      <c r="I106" s="422">
        <f>'68.04-PERS.VARSTNICE'!I106+'68.02.05 CUMULAT AP+SF.NIC'!I106+'68.06 centralizat'!I106+'68.15.01-AJ SOC'!I106+'68.15.02-CANTINA'!I106+'68.50.50 rest DAS+CPFA'!I106</f>
        <v>23</v>
      </c>
      <c r="J106" s="422">
        <f>'68.04-PERS.VARSTNICE'!J106+'68.02.05 CUMULAT AP+SF.NIC'!J106+'68.06 centralizat'!J106+'68.15.01-AJ SOC'!J106+'68.15.02-CANTINA'!J106+'68.50.50 rest DAS+CPFA'!J106</f>
        <v>23</v>
      </c>
      <c r="K106" s="57"/>
      <c r="L106" s="43"/>
      <c r="M106" s="771"/>
    </row>
    <row r="107" spans="1:13" s="4" customFormat="1" ht="12.75" customHeight="1" thickBot="1" x14ac:dyDescent="0.25">
      <c r="A107" s="820">
        <v>97</v>
      </c>
      <c r="B107" s="123" t="s">
        <v>165</v>
      </c>
      <c r="C107" s="56" t="s">
        <v>166</v>
      </c>
      <c r="D107" s="422">
        <f>'68.04-PERS.VARSTNICE'!D107+'68.02.05 CUMULAT AP+SF.NIC'!D107+'68.06 centralizat'!D107+'68.15.01-AJ SOC'!D107+'68.15.02-CANTINA'!D107+'68.50.50 rest DAS+CPFA'!D107</f>
        <v>0</v>
      </c>
      <c r="E107" s="422">
        <f>'68.04-PERS.VARSTNICE'!E107+'68.02.05 CUMULAT AP+SF.NIC'!E107+'68.06 centralizat'!E107+'68.15.01-AJ SOC'!E107+'68.15.02-CANTINA'!E107+'68.50.50 rest DAS+CPFA'!E107</f>
        <v>0</v>
      </c>
      <c r="F107" s="422">
        <f>'68.04-PERS.VARSTNICE'!F107+'68.02.05 CUMULAT AP+SF.NIC'!F107+'68.06 centralizat'!F107+'68.15.01-AJ SOC'!F107+'68.15.02-CANTINA'!F107+'68.50.50 rest DAS+CPFA'!F107</f>
        <v>7826</v>
      </c>
      <c r="G107" s="422">
        <f>'68.04-PERS.VARSTNICE'!G107+'68.02.05 CUMULAT AP+SF.NIC'!G107+'68.06 centralizat'!G107+'68.15.01-AJ SOC'!G107+'68.15.02-CANTINA'!G107+'68.50.50 rest DAS+CPFA'!G107</f>
        <v>2571</v>
      </c>
      <c r="H107" s="422">
        <f>'68.04-PERS.VARSTNICE'!H107+'68.02.05 CUMULAT AP+SF.NIC'!H107+'68.06 centralizat'!H107+'68.15.01-AJ SOC'!H107+'68.15.02-CANTINA'!H107+'68.50.50 rest DAS+CPFA'!H107</f>
        <v>1065</v>
      </c>
      <c r="I107" s="422">
        <f>'68.04-PERS.VARSTNICE'!I107+'68.02.05 CUMULAT AP+SF.NIC'!I107+'68.06 centralizat'!I107+'68.15.01-AJ SOC'!I107+'68.15.02-CANTINA'!I107+'68.50.50 rest DAS+CPFA'!I107</f>
        <v>1620</v>
      </c>
      <c r="J107" s="422">
        <f>'68.04-PERS.VARSTNICE'!J107+'68.02.05 CUMULAT AP+SF.NIC'!J107+'68.06 centralizat'!J107+'68.15.01-AJ SOC'!J107+'68.15.02-CANTINA'!J107+'68.50.50 rest DAS+CPFA'!J107</f>
        <v>2570</v>
      </c>
      <c r="K107" s="57"/>
      <c r="L107" s="43"/>
      <c r="M107" s="771"/>
    </row>
    <row r="108" spans="1:13" s="4" customFormat="1" ht="12.75" customHeight="1" thickBot="1" x14ac:dyDescent="0.25">
      <c r="A108" s="689">
        <v>98</v>
      </c>
      <c r="B108" s="124" t="s">
        <v>167</v>
      </c>
      <c r="C108" s="41"/>
      <c r="D108" s="422">
        <f>'68.04-PERS.VARSTNICE'!D108+'68.02.05 CUMULAT AP+SF.NIC'!D108+'68.06 centralizat'!D108+'68.15.01-AJ SOC'!D108+'68.15.02-CANTINA'!D108+'68.50.50 rest DAS+CPFA'!D108</f>
        <v>0</v>
      </c>
      <c r="E108" s="422">
        <f>'68.04-PERS.VARSTNICE'!E108+'68.02.05 CUMULAT AP+SF.NIC'!E108+'68.06 centralizat'!E108+'68.15.01-AJ SOC'!E108+'68.15.02-CANTINA'!E108+'68.50.50 rest DAS+CPFA'!E108</f>
        <v>0</v>
      </c>
      <c r="F108" s="422">
        <f>'68.04-PERS.VARSTNICE'!F108+'68.02.05 CUMULAT AP+SF.NIC'!F108+'68.06 centralizat'!F108+'68.15.01-AJ SOC'!F108+'68.15.02-CANTINA'!F108+'68.50.50 rest DAS+CPFA'!F108</f>
        <v>1066</v>
      </c>
      <c r="G108" s="422">
        <f>'68.04-PERS.VARSTNICE'!G108+'68.02.05 CUMULAT AP+SF.NIC'!G108+'68.06 centralizat'!G108+'68.15.01-AJ SOC'!G108+'68.15.02-CANTINA'!G108+'68.50.50 rest DAS+CPFA'!G108</f>
        <v>271</v>
      </c>
      <c r="H108" s="422">
        <f>'68.04-PERS.VARSTNICE'!H108+'68.02.05 CUMULAT AP+SF.NIC'!H108+'68.06 centralizat'!H108+'68.15.01-AJ SOC'!H108+'68.15.02-CANTINA'!H108+'68.50.50 rest DAS+CPFA'!H108</f>
        <v>265</v>
      </c>
      <c r="I108" s="422">
        <f>'68.04-PERS.VARSTNICE'!I108+'68.02.05 CUMULAT AP+SF.NIC'!I108+'68.06 centralizat'!I108+'68.15.01-AJ SOC'!I108+'68.15.02-CANTINA'!I108+'68.50.50 rest DAS+CPFA'!I108</f>
        <v>260</v>
      </c>
      <c r="J108" s="422">
        <f>'68.04-PERS.VARSTNICE'!J108+'68.02.05 CUMULAT AP+SF.NIC'!J108+'68.06 centralizat'!J108+'68.15.01-AJ SOC'!J108+'68.15.02-CANTINA'!J108+'68.50.50 rest DAS+CPFA'!J108</f>
        <v>270</v>
      </c>
      <c r="K108" s="371"/>
      <c r="L108" s="43"/>
      <c r="M108" s="771"/>
    </row>
    <row r="109" spans="1:13" s="4" customFormat="1" ht="12.75" customHeight="1" thickBot="1" x14ac:dyDescent="0.25">
      <c r="A109" s="820">
        <v>99</v>
      </c>
      <c r="B109" s="125" t="s">
        <v>168</v>
      </c>
      <c r="C109" s="41"/>
      <c r="D109" s="422">
        <f>'68.04-PERS.VARSTNICE'!D109+'68.02.05 CUMULAT AP+SF.NIC'!D109+'68.06 centralizat'!D109+'68.15.01-AJ SOC'!D109+'68.15.02-CANTINA'!D109+'68.50.50 rest DAS+CPFA'!D109</f>
        <v>0</v>
      </c>
      <c r="E109" s="422">
        <f>'68.04-PERS.VARSTNICE'!E109+'68.02.05 CUMULAT AP+SF.NIC'!E109+'68.06 centralizat'!E109+'68.15.01-AJ SOC'!E109+'68.15.02-CANTINA'!E109+'68.50.50 rest DAS+CPFA'!E109</f>
        <v>0</v>
      </c>
      <c r="F109" s="422">
        <f>'68.04-PERS.VARSTNICE'!F109+'68.02.05 CUMULAT AP+SF.NIC'!F109+'68.06 centralizat'!F109+'68.15.01-AJ SOC'!F109+'68.15.02-CANTINA'!F109+'68.50.50 rest DAS+CPFA'!F109</f>
        <v>560</v>
      </c>
      <c r="G109" s="422">
        <f>'68.04-PERS.VARSTNICE'!G109+'68.02.05 CUMULAT AP+SF.NIC'!G109+'68.06 centralizat'!G109+'68.15.01-AJ SOC'!G109+'68.15.02-CANTINA'!G109+'68.50.50 rest DAS+CPFA'!G109</f>
        <v>0</v>
      </c>
      <c r="H109" s="422">
        <f>'68.04-PERS.VARSTNICE'!H109+'68.02.05 CUMULAT AP+SF.NIC'!H109+'68.06 centralizat'!H109+'68.15.01-AJ SOC'!H109+'68.15.02-CANTINA'!H109+'68.50.50 rest DAS+CPFA'!H109</f>
        <v>0</v>
      </c>
      <c r="I109" s="422">
        <f>'68.04-PERS.VARSTNICE'!I109+'68.02.05 CUMULAT AP+SF.NIC'!I109+'68.06 centralizat'!I109+'68.15.01-AJ SOC'!I109+'68.15.02-CANTINA'!I109+'68.50.50 rest DAS+CPFA'!I109</f>
        <v>560</v>
      </c>
      <c r="J109" s="422">
        <f>'68.04-PERS.VARSTNICE'!J109+'68.02.05 CUMULAT AP+SF.NIC'!J109+'68.06 centralizat'!J109+'68.15.01-AJ SOC'!J109+'68.15.02-CANTINA'!J109+'68.50.50 rest DAS+CPFA'!J109</f>
        <v>0</v>
      </c>
      <c r="K109" s="371"/>
      <c r="L109" s="43"/>
      <c r="M109" s="771"/>
    </row>
    <row r="110" spans="1:13" s="4" customFormat="1" ht="12.75" customHeight="1" thickBot="1" x14ac:dyDescent="0.25">
      <c r="A110" s="689">
        <v>100</v>
      </c>
      <c r="B110" s="116" t="s">
        <v>371</v>
      </c>
      <c r="C110" s="41"/>
      <c r="D110" s="422">
        <f>'68.04-PERS.VARSTNICE'!D110+'68.02.05 CUMULAT AP+SF.NIC'!D110+'68.06 centralizat'!D110+'68.15.01-AJ SOC'!D110+'68.15.02-CANTINA'!D110+'68.50.50 rest DAS+CPFA'!D110</f>
        <v>0</v>
      </c>
      <c r="E110" s="422">
        <f>'68.04-PERS.VARSTNICE'!E110+'68.02.05 CUMULAT AP+SF.NIC'!E110+'68.06 centralizat'!E110+'68.15.01-AJ SOC'!E110+'68.15.02-CANTINA'!E110+'68.50.50 rest DAS+CPFA'!E110</f>
        <v>0</v>
      </c>
      <c r="F110" s="422">
        <f>'68.04-PERS.VARSTNICE'!F110+'68.02.05 CUMULAT AP+SF.NIC'!F110+'68.06 centralizat'!F110+'68.15.01-AJ SOC'!F110+'68.15.02-CANTINA'!F110+'68.50.50 rest DAS+CPFA'!F110</f>
        <v>3000</v>
      </c>
      <c r="G110" s="422">
        <f>'68.04-PERS.VARSTNICE'!G110+'68.02.05 CUMULAT AP+SF.NIC'!G110+'68.06 centralizat'!G110+'68.15.01-AJ SOC'!G110+'68.15.02-CANTINA'!G110+'68.50.50 rest DAS+CPFA'!G110</f>
        <v>1500</v>
      </c>
      <c r="H110" s="422">
        <f>'68.04-PERS.VARSTNICE'!H110+'68.02.05 CUMULAT AP+SF.NIC'!H110+'68.06 centralizat'!H110+'68.15.01-AJ SOC'!H110+'68.15.02-CANTINA'!H110+'68.50.50 rest DAS+CPFA'!H110</f>
        <v>0</v>
      </c>
      <c r="I110" s="422">
        <f>'68.04-PERS.VARSTNICE'!I110+'68.02.05 CUMULAT AP+SF.NIC'!I110+'68.06 centralizat'!I110+'68.15.01-AJ SOC'!I110+'68.15.02-CANTINA'!I110+'68.50.50 rest DAS+CPFA'!I110</f>
        <v>0</v>
      </c>
      <c r="J110" s="422">
        <f>'68.04-PERS.VARSTNICE'!J110+'68.02.05 CUMULAT AP+SF.NIC'!J110+'68.06 centralizat'!J110+'68.15.01-AJ SOC'!J110+'68.15.02-CANTINA'!J110+'68.50.50 rest DAS+CPFA'!J110</f>
        <v>1500</v>
      </c>
      <c r="K110" s="371"/>
      <c r="L110" s="43"/>
      <c r="M110" s="771"/>
    </row>
    <row r="111" spans="1:13" s="4" customFormat="1" ht="12.75" customHeight="1" thickBot="1" x14ac:dyDescent="0.25">
      <c r="A111" s="820">
        <v>101</v>
      </c>
      <c r="B111" s="116" t="s">
        <v>170</v>
      </c>
      <c r="C111" s="41"/>
      <c r="D111" s="422">
        <f>'68.04-PERS.VARSTNICE'!D111+'68.02.05 CUMULAT AP+SF.NIC'!D111+'68.06 centralizat'!D111+'68.15.01-AJ SOC'!D111+'68.15.02-CANTINA'!D111+'68.50.50 rest DAS+CPFA'!D111</f>
        <v>0</v>
      </c>
      <c r="E111" s="422">
        <f>'68.04-PERS.VARSTNICE'!E111+'68.02.05 CUMULAT AP+SF.NIC'!E111+'68.06 centralizat'!E111+'68.15.01-AJ SOC'!E111+'68.15.02-CANTINA'!E111+'68.50.50 rest DAS+CPFA'!E111</f>
        <v>0</v>
      </c>
      <c r="F111" s="422">
        <f>'68.04-PERS.VARSTNICE'!F111+'68.02.05 CUMULAT AP+SF.NIC'!F111+'68.06 centralizat'!F111+'68.15.01-AJ SOC'!F111+'68.15.02-CANTINA'!F111+'68.50.50 rest DAS+CPFA'!F111</f>
        <v>3200</v>
      </c>
      <c r="G111" s="422">
        <f>'68.04-PERS.VARSTNICE'!G111+'68.02.05 CUMULAT AP+SF.NIC'!G111+'68.06 centralizat'!G111+'68.15.01-AJ SOC'!G111+'68.15.02-CANTINA'!G111+'68.50.50 rest DAS+CPFA'!G111</f>
        <v>800</v>
      </c>
      <c r="H111" s="422">
        <f>'68.04-PERS.VARSTNICE'!H111+'68.02.05 CUMULAT AP+SF.NIC'!H111+'68.06 centralizat'!H111+'68.15.01-AJ SOC'!H111+'68.15.02-CANTINA'!H111+'68.50.50 rest DAS+CPFA'!H111</f>
        <v>800</v>
      </c>
      <c r="I111" s="422">
        <f>'68.04-PERS.VARSTNICE'!I111+'68.02.05 CUMULAT AP+SF.NIC'!I111+'68.06 centralizat'!I111+'68.15.01-AJ SOC'!I111+'68.15.02-CANTINA'!I111+'68.50.50 rest DAS+CPFA'!I111</f>
        <v>800</v>
      </c>
      <c r="J111" s="422">
        <f>'68.04-PERS.VARSTNICE'!J111+'68.02.05 CUMULAT AP+SF.NIC'!J111+'68.06 centralizat'!J111+'68.15.01-AJ SOC'!J111+'68.15.02-CANTINA'!J111+'68.50.50 rest DAS+CPFA'!J111</f>
        <v>800</v>
      </c>
      <c r="K111" s="57"/>
      <c r="L111" s="43"/>
      <c r="M111" s="771"/>
    </row>
    <row r="112" spans="1:13" s="4" customFormat="1" ht="25.5" customHeight="1" thickBot="1" x14ac:dyDescent="0.25">
      <c r="A112" s="689">
        <v>102</v>
      </c>
      <c r="B112" s="126" t="s">
        <v>171</v>
      </c>
      <c r="C112" s="101" t="s">
        <v>172</v>
      </c>
      <c r="D112" s="422">
        <f>'68.04-PERS.VARSTNICE'!D112+'68.02.05 CUMULAT AP+SF.NIC'!D112+'68.06 centralizat'!D112+'68.15.01-AJ SOC'!D112+'68.15.02-CANTINA'!D112+'68.50.50 rest DAS+CPFA'!D112</f>
        <v>0</v>
      </c>
      <c r="E112" s="422">
        <f>'68.04-PERS.VARSTNICE'!E112+'68.02.05 CUMULAT AP+SF.NIC'!E112+'68.06 centralizat'!E112+'68.15.01-AJ SOC'!E112+'68.15.02-CANTINA'!E112+'68.50.50 rest DAS+CPFA'!E112</f>
        <v>0</v>
      </c>
      <c r="F112" s="422">
        <f>'68.04-PERS.VARSTNICE'!F112+'68.02.05 CUMULAT AP+SF.NIC'!F112+'68.06 centralizat'!F112+'68.15.01-AJ SOC'!F112+'68.15.02-CANTINA'!F112+'68.50.50 rest DAS+CPFA'!F112</f>
        <v>0</v>
      </c>
      <c r="G112" s="422">
        <f>'68.04-PERS.VARSTNICE'!G112+'68.02.05 CUMULAT AP+SF.NIC'!G112+'68.06 centralizat'!G112+'68.15.01-AJ SOC'!G112+'68.15.02-CANTINA'!G112+'68.50.50 rest DAS+CPFA'!G112</f>
        <v>0</v>
      </c>
      <c r="H112" s="422">
        <f>'68.04-PERS.VARSTNICE'!H112+'68.02.05 CUMULAT AP+SF.NIC'!H112+'68.06 centralizat'!H112+'68.15.01-AJ SOC'!H112+'68.15.02-CANTINA'!H112+'68.50.50 rest DAS+CPFA'!H112</f>
        <v>0</v>
      </c>
      <c r="I112" s="422">
        <f>'68.04-PERS.VARSTNICE'!I112+'68.02.05 CUMULAT AP+SF.NIC'!I112+'68.06 centralizat'!I112+'68.15.01-AJ SOC'!I112+'68.15.02-CANTINA'!I112+'68.50.50 rest DAS+CPFA'!I112</f>
        <v>0</v>
      </c>
      <c r="J112" s="422">
        <f>'68.04-PERS.VARSTNICE'!J112+'68.02.05 CUMULAT AP+SF.NIC'!J112+'68.06 centralizat'!J112+'68.15.01-AJ SOC'!J112+'68.15.02-CANTINA'!J112+'68.50.50 rest DAS+CPFA'!J112</f>
        <v>0</v>
      </c>
      <c r="K112" s="427">
        <f>'68.04-PERS.VARSTNICE'!K111+'68.02.05.02- AP+IND+RAT'!K112+'68.06 centralizat'!K112+'68.12 CENTRALIZATOR'!K112+'68.15.01-AJ SOC'!K112+'68.15.02-CANTINA'!K112+'68.50.50 rest DAS+CPFA'!K112</f>
        <v>0</v>
      </c>
      <c r="L112" s="293">
        <f>'68.04-PERS.VARSTNICE'!L111+'68.02.05.02- AP+IND+RAT'!L112+'68.06 centralizat'!L112+'68.12 CENTRALIZATOR'!L112+'68.15.01-AJ SOC'!L112+'68.15.02-CANTINA'!L112+'68.50.50 rest DAS+CPFA'!L112</f>
        <v>0</v>
      </c>
      <c r="M112" s="857">
        <f>'68.04-PERS.VARSTNICE'!M111+'68.02.05.02- AP+IND+RAT'!M112+'68.06 centralizat'!M112+'68.12 CENTRALIZATOR'!M112+'68.15.01-AJ SOC'!M112+'68.15.02-CANTINA'!M112+'68.50.50 rest DAS+CPFA'!M112</f>
        <v>0</v>
      </c>
    </row>
    <row r="113" spans="1:13" s="4" customFormat="1" ht="12.75" customHeight="1" thickBot="1" x14ac:dyDescent="0.25">
      <c r="A113" s="820">
        <v>103</v>
      </c>
      <c r="B113" s="320" t="s">
        <v>127</v>
      </c>
      <c r="C113" s="56" t="s">
        <v>173</v>
      </c>
      <c r="D113" s="422">
        <f>'68.04-PERS.VARSTNICE'!D113+'68.02.05 CUMULAT AP+SF.NIC'!D113+'68.06 centralizat'!D113+'68.15.01-AJ SOC'!D113+'68.15.02-CANTINA'!D113+'68.50.50 rest DAS+CPFA'!D113</f>
        <v>0</v>
      </c>
      <c r="E113" s="422">
        <f>'68.04-PERS.VARSTNICE'!E113+'68.02.05 CUMULAT AP+SF.NIC'!E113+'68.06 centralizat'!E113+'68.15.01-AJ SOC'!E113+'68.15.02-CANTINA'!E113+'68.50.50 rest DAS+CPFA'!E113</f>
        <v>0</v>
      </c>
      <c r="F113" s="422">
        <f>'68.04-PERS.VARSTNICE'!F113+'68.02.05 CUMULAT AP+SF.NIC'!F113+'68.06 centralizat'!F113+'68.15.01-AJ SOC'!F113+'68.15.02-CANTINA'!F113+'68.50.50 rest DAS+CPFA'!F113</f>
        <v>0</v>
      </c>
      <c r="G113" s="422">
        <f>'68.04-PERS.VARSTNICE'!G113+'68.02.05 CUMULAT AP+SF.NIC'!G113+'68.06 centralizat'!G113+'68.15.01-AJ SOC'!G113+'68.15.02-CANTINA'!G113+'68.50.50 rest DAS+CPFA'!G113</f>
        <v>0</v>
      </c>
      <c r="H113" s="422">
        <f>'68.04-PERS.VARSTNICE'!H113+'68.02.05 CUMULAT AP+SF.NIC'!H113+'68.06 centralizat'!H113+'68.15.01-AJ SOC'!H113+'68.15.02-CANTINA'!H113+'68.50.50 rest DAS+CPFA'!H113</f>
        <v>0</v>
      </c>
      <c r="I113" s="422">
        <f>'68.04-PERS.VARSTNICE'!I113+'68.02.05 CUMULAT AP+SF.NIC'!I113+'68.06 centralizat'!I113+'68.15.01-AJ SOC'!I113+'68.15.02-CANTINA'!I113+'68.50.50 rest DAS+CPFA'!I113</f>
        <v>0</v>
      </c>
      <c r="J113" s="422">
        <f>'68.04-PERS.VARSTNICE'!J113+'68.02.05 CUMULAT AP+SF.NIC'!J113+'68.06 centralizat'!J113+'68.15.01-AJ SOC'!J113+'68.15.02-CANTINA'!J113+'68.50.50 rest DAS+CPFA'!J113</f>
        <v>0</v>
      </c>
      <c r="K113" s="371"/>
      <c r="L113" s="43"/>
      <c r="M113" s="771"/>
    </row>
    <row r="114" spans="1:13" s="4" customFormat="1" ht="12.75" customHeight="1" thickBot="1" x14ac:dyDescent="0.25">
      <c r="A114" s="689">
        <v>104</v>
      </c>
      <c r="B114" s="73" t="s">
        <v>174</v>
      </c>
      <c r="C114" s="56"/>
      <c r="D114" s="422">
        <f>'68.04-PERS.VARSTNICE'!D114+'68.02.05 CUMULAT AP+SF.NIC'!D114+'68.06 centralizat'!D114+'68.15.01-AJ SOC'!D114+'68.15.02-CANTINA'!D114+'68.50.50 rest DAS+CPFA'!D114</f>
        <v>0</v>
      </c>
      <c r="E114" s="422">
        <f>'68.04-PERS.VARSTNICE'!E114+'68.02.05 CUMULAT AP+SF.NIC'!E114+'68.06 centralizat'!E114+'68.15.01-AJ SOC'!E114+'68.15.02-CANTINA'!E114+'68.50.50 rest DAS+CPFA'!E114</f>
        <v>0</v>
      </c>
      <c r="F114" s="422">
        <f>'68.04-PERS.VARSTNICE'!F114+'68.02.05 CUMULAT AP+SF.NIC'!F114+'68.06 centralizat'!F114+'68.15.01-AJ SOC'!F114+'68.15.02-CANTINA'!F114+'68.50.50 rest DAS+CPFA'!F114</f>
        <v>0</v>
      </c>
      <c r="G114" s="422">
        <f>'68.04-PERS.VARSTNICE'!G114+'68.02.05 CUMULAT AP+SF.NIC'!G114+'68.06 centralizat'!G114+'68.15.01-AJ SOC'!G114+'68.15.02-CANTINA'!G114+'68.50.50 rest DAS+CPFA'!G114</f>
        <v>0</v>
      </c>
      <c r="H114" s="422">
        <f>'68.04-PERS.VARSTNICE'!H114+'68.02.05 CUMULAT AP+SF.NIC'!H114+'68.06 centralizat'!H114+'68.15.01-AJ SOC'!H114+'68.15.02-CANTINA'!H114+'68.50.50 rest DAS+CPFA'!H114</f>
        <v>0</v>
      </c>
      <c r="I114" s="422">
        <f>'68.04-PERS.VARSTNICE'!I114+'68.02.05 CUMULAT AP+SF.NIC'!I114+'68.06 centralizat'!I114+'68.15.01-AJ SOC'!I114+'68.15.02-CANTINA'!I114+'68.50.50 rest DAS+CPFA'!I114</f>
        <v>0</v>
      </c>
      <c r="J114" s="422">
        <f>'68.04-PERS.VARSTNICE'!J114+'68.02.05 CUMULAT AP+SF.NIC'!J114+'68.06 centralizat'!J114+'68.15.01-AJ SOC'!J114+'68.15.02-CANTINA'!J114+'68.50.50 rest DAS+CPFA'!J114</f>
        <v>0</v>
      </c>
      <c r="K114" s="371"/>
      <c r="L114" s="43"/>
      <c r="M114" s="771"/>
    </row>
    <row r="115" spans="1:13" s="4" customFormat="1" ht="12.75" customHeight="1" thickBot="1" x14ac:dyDescent="0.25">
      <c r="A115" s="820">
        <v>105</v>
      </c>
      <c r="B115" s="73" t="s">
        <v>175</v>
      </c>
      <c r="C115" s="56"/>
      <c r="D115" s="422">
        <f>'68.04-PERS.VARSTNICE'!D115+'68.02.05 CUMULAT AP+SF.NIC'!D115+'68.06 centralizat'!D115+'68.15.01-AJ SOC'!D115+'68.15.02-CANTINA'!D115+'68.50.50 rest DAS+CPFA'!D115</f>
        <v>0</v>
      </c>
      <c r="E115" s="422">
        <f>'68.04-PERS.VARSTNICE'!E115+'68.02.05 CUMULAT AP+SF.NIC'!E115+'68.06 centralizat'!E115+'68.15.01-AJ SOC'!E115+'68.15.02-CANTINA'!E115+'68.50.50 rest DAS+CPFA'!E115</f>
        <v>0</v>
      </c>
      <c r="F115" s="422">
        <f>'68.04-PERS.VARSTNICE'!F115+'68.02.05 CUMULAT AP+SF.NIC'!F115+'68.06 centralizat'!F115+'68.15.01-AJ SOC'!F115+'68.15.02-CANTINA'!F115+'68.50.50 rest DAS+CPFA'!F115</f>
        <v>0</v>
      </c>
      <c r="G115" s="422">
        <f>'68.04-PERS.VARSTNICE'!G115+'68.02.05 CUMULAT AP+SF.NIC'!G115+'68.06 centralizat'!G115+'68.15.01-AJ SOC'!G115+'68.15.02-CANTINA'!G115+'68.50.50 rest DAS+CPFA'!G115</f>
        <v>0</v>
      </c>
      <c r="H115" s="422">
        <f>'68.04-PERS.VARSTNICE'!H115+'68.02.05 CUMULAT AP+SF.NIC'!H115+'68.06 centralizat'!H115+'68.15.01-AJ SOC'!H115+'68.15.02-CANTINA'!H115+'68.50.50 rest DAS+CPFA'!H115</f>
        <v>0</v>
      </c>
      <c r="I115" s="422">
        <f>'68.04-PERS.VARSTNICE'!I115+'68.02.05 CUMULAT AP+SF.NIC'!I115+'68.06 centralizat'!I115+'68.15.01-AJ SOC'!I115+'68.15.02-CANTINA'!I115+'68.50.50 rest DAS+CPFA'!I115</f>
        <v>0</v>
      </c>
      <c r="J115" s="422">
        <f>'68.04-PERS.VARSTNICE'!J115+'68.02.05 CUMULAT AP+SF.NIC'!J115+'68.06 centralizat'!J115+'68.15.01-AJ SOC'!J115+'68.15.02-CANTINA'!J115+'68.50.50 rest DAS+CPFA'!J115</f>
        <v>0</v>
      </c>
      <c r="K115" s="371"/>
      <c r="L115" s="43"/>
      <c r="M115" s="771"/>
    </row>
    <row r="116" spans="1:13" s="4" customFormat="1" ht="12.75" customHeight="1" thickBot="1" x14ac:dyDescent="0.25">
      <c r="A116" s="689">
        <v>106</v>
      </c>
      <c r="B116" s="73" t="s">
        <v>176</v>
      </c>
      <c r="C116" s="56" t="s">
        <v>177</v>
      </c>
      <c r="D116" s="422">
        <f>'68.04-PERS.VARSTNICE'!D116+'68.02.05 CUMULAT AP+SF.NIC'!D116+'68.06 centralizat'!D116+'68.15.01-AJ SOC'!D116+'68.15.02-CANTINA'!D116+'68.50.50 rest DAS+CPFA'!D116</f>
        <v>0</v>
      </c>
      <c r="E116" s="422">
        <f>'68.04-PERS.VARSTNICE'!E116+'68.02.05 CUMULAT AP+SF.NIC'!E116+'68.06 centralizat'!E116+'68.15.01-AJ SOC'!E116+'68.15.02-CANTINA'!E116+'68.50.50 rest DAS+CPFA'!E116</f>
        <v>0</v>
      </c>
      <c r="F116" s="422">
        <f>'68.04-PERS.VARSTNICE'!F116+'68.02.05 CUMULAT AP+SF.NIC'!F116+'68.06 centralizat'!F116+'68.15.01-AJ SOC'!F116+'68.15.02-CANTINA'!F116+'68.50.50 rest DAS+CPFA'!F116</f>
        <v>0</v>
      </c>
      <c r="G116" s="422">
        <f>'68.04-PERS.VARSTNICE'!G116+'68.02.05 CUMULAT AP+SF.NIC'!G116+'68.06 centralizat'!G116+'68.15.01-AJ SOC'!G116+'68.15.02-CANTINA'!G116+'68.50.50 rest DAS+CPFA'!G116</f>
        <v>0</v>
      </c>
      <c r="H116" s="422">
        <f>'68.04-PERS.VARSTNICE'!H116+'68.02.05 CUMULAT AP+SF.NIC'!H116+'68.06 centralizat'!H116+'68.15.01-AJ SOC'!H116+'68.15.02-CANTINA'!H116+'68.50.50 rest DAS+CPFA'!H116</f>
        <v>0</v>
      </c>
      <c r="I116" s="422">
        <f>'68.04-PERS.VARSTNICE'!I116+'68.02.05 CUMULAT AP+SF.NIC'!I116+'68.06 centralizat'!I116+'68.15.01-AJ SOC'!I116+'68.15.02-CANTINA'!I116+'68.50.50 rest DAS+CPFA'!I116</f>
        <v>0</v>
      </c>
      <c r="J116" s="422">
        <f>'68.04-PERS.VARSTNICE'!J116+'68.02.05 CUMULAT AP+SF.NIC'!J116+'68.06 centralizat'!J116+'68.15.01-AJ SOC'!J116+'68.15.02-CANTINA'!J116+'68.50.50 rest DAS+CPFA'!J116</f>
        <v>0</v>
      </c>
      <c r="K116" s="371"/>
      <c r="L116" s="43"/>
      <c r="M116" s="771"/>
    </row>
    <row r="117" spans="1:13" s="4" customFormat="1" ht="25.5" hidden="1" customHeight="1" thickBot="1" x14ac:dyDescent="0.25">
      <c r="A117" s="820">
        <v>107</v>
      </c>
      <c r="B117" s="73" t="s">
        <v>178</v>
      </c>
      <c r="C117" s="101" t="s">
        <v>179</v>
      </c>
      <c r="D117" s="422">
        <f>'68.04-PERS.VARSTNICE'!D117+'68.02.05 CUMULAT AP+SF.NIC'!D117+'68.06 centralizat'!D117+'68.15.01-AJ SOC'!D117+'68.15.02-CANTINA'!D117+'68.50.50 rest DAS+CPFA'!D117</f>
        <v>0</v>
      </c>
      <c r="E117" s="422">
        <f>'68.04-PERS.VARSTNICE'!E117+'68.02.05 CUMULAT AP+SF.NIC'!E117+'68.06 centralizat'!E117+'68.15.01-AJ SOC'!E117+'68.15.02-CANTINA'!E117+'68.50.50 rest DAS+CPFA'!E117</f>
        <v>0</v>
      </c>
      <c r="F117" s="422">
        <f>'68.04-PERS.VARSTNICE'!F117+'68.02.05 CUMULAT AP+SF.NIC'!F117+'68.06 centralizat'!F117+'68.15.01-AJ SOC'!F117+'68.15.02-CANTINA'!F117+'68.50.50 rest DAS+CPFA'!F117</f>
        <v>0</v>
      </c>
      <c r="G117" s="422">
        <f>'68.04-PERS.VARSTNICE'!G117+'68.02.05 CUMULAT AP+SF.NIC'!G117+'68.06 centralizat'!G117+'68.15.01-AJ SOC'!G117+'68.15.02-CANTINA'!G117+'68.50.50 rest DAS+CPFA'!G117</f>
        <v>0</v>
      </c>
      <c r="H117" s="422">
        <f>'68.04-PERS.VARSTNICE'!H117+'68.02.05 CUMULAT AP+SF.NIC'!H117+'68.06 centralizat'!H117+'68.15.01-AJ SOC'!H117+'68.15.02-CANTINA'!H117+'68.50.50 rest DAS+CPFA'!H117</f>
        <v>0</v>
      </c>
      <c r="I117" s="422">
        <f>'68.04-PERS.VARSTNICE'!I117+'68.02.05 CUMULAT AP+SF.NIC'!I117+'68.06 centralizat'!I117+'68.15.01-AJ SOC'!I117+'68.15.02-CANTINA'!I117+'68.50.50 rest DAS+CPFA'!I117</f>
        <v>0</v>
      </c>
      <c r="J117" s="422">
        <f>'68.04-PERS.VARSTNICE'!J117+'68.02.05 CUMULAT AP+SF.NIC'!J117+'68.06 centralizat'!J117+'68.15.01-AJ SOC'!J117+'68.15.02-CANTINA'!J117+'68.50.50 rest DAS+CPFA'!J117</f>
        <v>0</v>
      </c>
      <c r="K117" s="57"/>
      <c r="L117" s="43"/>
      <c r="M117" s="771"/>
    </row>
    <row r="118" spans="1:13" s="135" customFormat="1" ht="12.75" customHeight="1" thickBot="1" x14ac:dyDescent="0.25">
      <c r="A118" s="689">
        <v>108</v>
      </c>
      <c r="B118" s="179" t="s">
        <v>180</v>
      </c>
      <c r="C118" s="180"/>
      <c r="D118" s="1110">
        <f ca="1">'68.04-PERS.VARSTNICE'!D118+'68.02.05 CUMULAT AP+SF.NIC'!D118+'68.06 centralizat'!D118+'68.15.01-AJ SOC'!D118+'68.15.02-CANTINA'!D118+'68.50.50 rest DAS+CPFA'!D118</f>
        <v>7852.6</v>
      </c>
      <c r="E118" s="1110">
        <f>'68.04-PERS.VARSTNICE'!E118+'68.02.05 CUMULAT AP+SF.NIC'!E118+'68.06 centralizat'!E118+'68.15.01-AJ SOC'!E118+'68.15.02-CANTINA'!E118+'68.50.50 rest DAS+CPFA'!E118</f>
        <v>0</v>
      </c>
      <c r="F118" s="1110">
        <f>'68.04-PERS.VARSTNICE'!F118+'68.02.05 CUMULAT AP+SF.NIC'!F118+'68.06 centralizat'!F118+'68.15.01-AJ SOC'!F118+'68.15.02-CANTINA'!F118+'68.50.50 rest DAS+CPFA'!F118</f>
        <v>4013.6</v>
      </c>
      <c r="G118" s="1110">
        <f>'68.04-PERS.VARSTNICE'!G118+'68.02.05 CUMULAT AP+SF.NIC'!G118+'68.06 centralizat'!G118+'68.15.01-AJ SOC'!G118+'68.15.02-CANTINA'!G118+'68.50.50 rest DAS+CPFA'!G118</f>
        <v>3030</v>
      </c>
      <c r="H118" s="1110">
        <f>'68.04-PERS.VARSTNICE'!H118+'68.02.05 CUMULAT AP+SF.NIC'!H118+'68.06 centralizat'!H118+'68.15.01-AJ SOC'!H118+'68.15.02-CANTINA'!H118+'68.50.50 rest DAS+CPFA'!H118</f>
        <v>437</v>
      </c>
      <c r="I118" s="1110">
        <f>'68.04-PERS.VARSTNICE'!I118+'68.02.05 CUMULAT AP+SF.NIC'!I118+'68.06 centralizat'!I118+'68.15.01-AJ SOC'!I118+'68.15.02-CANTINA'!I118+'68.50.50 rest DAS+CPFA'!I118</f>
        <v>546.6</v>
      </c>
      <c r="J118" s="1110">
        <f>'68.04-PERS.VARSTNICE'!J118+'68.02.05 CUMULAT AP+SF.NIC'!J118+'68.06 centralizat'!J118+'68.15.01-AJ SOC'!J118+'68.15.02-CANTINA'!J118+'68.50.50 rest DAS+CPFA'!J118</f>
        <v>0</v>
      </c>
      <c r="K118" s="1012">
        <f>'68.04-PERS.VARSTNICE'!K117+'68.02.05.02- AP+IND+RAT'!K118+'68.06 centralizat'!K118+'68.02.05.02 SF.NICOLAE'!K118+'68.15.01-AJ SOC'!K118+'68.15.02-CANTINA'!K118+'68.50.50 rest DAS+CPFA'!K118</f>
        <v>3839</v>
      </c>
      <c r="L118" s="372">
        <f>'68.04-PERS.VARSTNICE'!L117+'68.02.05.02- AP+IND+RAT'!L118+'68.06 centralizat'!L118+'68.02.05.02 SF.NICOLAE'!L118+'68.15.01-AJ SOC'!L118+'68.15.02-CANTINA'!L118+'68.50.50 rest DAS+CPFA'!L118</f>
        <v>0</v>
      </c>
      <c r="M118" s="892">
        <f>'68.04-PERS.VARSTNICE'!M117+'68.02.05.02- AP+IND+RAT'!M118+'68.06 centralizat'!M118+'68.02.05.02 SF.NICOLAE'!M118+'68.15.01-AJ SOC'!M118+'68.15.02-CANTINA'!M118+'68.50.50 rest DAS+CPFA'!M118</f>
        <v>0</v>
      </c>
    </row>
    <row r="119" spans="1:13" s="4" customFormat="1" ht="25.5" hidden="1" customHeight="1" thickBot="1" x14ac:dyDescent="0.25">
      <c r="A119" s="820">
        <v>109</v>
      </c>
      <c r="B119" s="126" t="s">
        <v>181</v>
      </c>
      <c r="C119" s="136" t="s">
        <v>182</v>
      </c>
      <c r="D119" s="422">
        <f>'68.04-PERS.VARSTNICE'!D119+'68.02.05 CUMULAT AP+SF.NIC'!D119+'68.06 centralizat'!D119+'68.15.01-AJ SOC'!D119+'68.15.02-CANTINA'!D119+'68.50.50 rest DAS+CPFA'!D119</f>
        <v>0</v>
      </c>
      <c r="E119" s="422">
        <f>'68.04-PERS.VARSTNICE'!E119+'68.02.05 CUMULAT AP+SF.NIC'!E119+'68.06 centralizat'!E119+'68.15.01-AJ SOC'!E119+'68.15.02-CANTINA'!E119+'68.50.50 rest DAS+CPFA'!E119</f>
        <v>0</v>
      </c>
      <c r="F119" s="422">
        <f>'68.04-PERS.VARSTNICE'!F119+'68.02.05 CUMULAT AP+SF.NIC'!F119+'68.06 centralizat'!F119+'68.15.01-AJ SOC'!F119+'68.15.02-CANTINA'!F119+'68.50.50 rest DAS+CPFA'!F119</f>
        <v>0</v>
      </c>
      <c r="G119" s="422">
        <f>'68.04-PERS.VARSTNICE'!G119+'68.02.05 CUMULAT AP+SF.NIC'!G119+'68.06 centralizat'!G119+'68.15.01-AJ SOC'!G119+'68.15.02-CANTINA'!G119+'68.50.50 rest DAS+CPFA'!G119</f>
        <v>0</v>
      </c>
      <c r="H119" s="422">
        <f>'68.04-PERS.VARSTNICE'!H119+'68.02.05 CUMULAT AP+SF.NIC'!H119+'68.06 centralizat'!H119+'68.15.01-AJ SOC'!H119+'68.15.02-CANTINA'!H119+'68.50.50 rest DAS+CPFA'!H119</f>
        <v>0</v>
      </c>
      <c r="I119" s="422">
        <f>'68.04-PERS.VARSTNICE'!I119+'68.02.05 CUMULAT AP+SF.NIC'!I119+'68.06 centralizat'!I119+'68.15.01-AJ SOC'!I119+'68.15.02-CANTINA'!I119+'68.50.50 rest DAS+CPFA'!I119</f>
        <v>0</v>
      </c>
      <c r="J119" s="422">
        <f>'68.04-PERS.VARSTNICE'!J119+'68.02.05 CUMULAT AP+SF.NIC'!J119+'68.06 centralizat'!J119+'68.15.01-AJ SOC'!J119+'68.15.02-CANTINA'!J119+'68.50.50 rest DAS+CPFA'!J119</f>
        <v>0</v>
      </c>
      <c r="K119" s="371"/>
      <c r="L119" s="43"/>
      <c r="M119" s="771"/>
    </row>
    <row r="120" spans="1:13" s="4" customFormat="1" ht="12.75" hidden="1" customHeight="1" thickBot="1" x14ac:dyDescent="0.25">
      <c r="A120" s="689">
        <v>110</v>
      </c>
      <c r="B120" s="55" t="s">
        <v>183</v>
      </c>
      <c r="C120" s="56" t="s">
        <v>184</v>
      </c>
      <c r="D120" s="422">
        <f>'68.04-PERS.VARSTNICE'!D120+'68.02.05 CUMULAT AP+SF.NIC'!D120+'68.06 centralizat'!D120+'68.15.01-AJ SOC'!D120+'68.15.02-CANTINA'!D120+'68.50.50 rest DAS+CPFA'!D120</f>
        <v>0</v>
      </c>
      <c r="E120" s="422">
        <f>'68.04-PERS.VARSTNICE'!E120+'68.02.05 CUMULAT AP+SF.NIC'!E120+'68.06 centralizat'!E120+'68.15.01-AJ SOC'!E120+'68.15.02-CANTINA'!E120+'68.50.50 rest DAS+CPFA'!E120</f>
        <v>0</v>
      </c>
      <c r="F120" s="422">
        <f>'68.04-PERS.VARSTNICE'!F120+'68.02.05 CUMULAT AP+SF.NIC'!F120+'68.06 centralizat'!F120+'68.15.01-AJ SOC'!F120+'68.15.02-CANTINA'!F120+'68.50.50 rest DAS+CPFA'!F120</f>
        <v>0</v>
      </c>
      <c r="G120" s="422">
        <f>'68.04-PERS.VARSTNICE'!G120+'68.02.05 CUMULAT AP+SF.NIC'!G120+'68.06 centralizat'!G120+'68.15.01-AJ SOC'!G120+'68.15.02-CANTINA'!G120+'68.50.50 rest DAS+CPFA'!G120</f>
        <v>0</v>
      </c>
      <c r="H120" s="422">
        <f>'68.04-PERS.VARSTNICE'!H120+'68.02.05 CUMULAT AP+SF.NIC'!H120+'68.06 centralizat'!H120+'68.15.01-AJ SOC'!H120+'68.15.02-CANTINA'!H120+'68.50.50 rest DAS+CPFA'!H120</f>
        <v>0</v>
      </c>
      <c r="I120" s="422">
        <f>'68.04-PERS.VARSTNICE'!I120+'68.02.05 CUMULAT AP+SF.NIC'!I120+'68.06 centralizat'!I120+'68.15.01-AJ SOC'!I120+'68.15.02-CANTINA'!I120+'68.50.50 rest DAS+CPFA'!I120</f>
        <v>0</v>
      </c>
      <c r="J120" s="422">
        <f>'68.04-PERS.VARSTNICE'!J120+'68.02.05 CUMULAT AP+SF.NIC'!J120+'68.06 centralizat'!J120+'68.15.01-AJ SOC'!J120+'68.15.02-CANTINA'!J120+'68.50.50 rest DAS+CPFA'!J120</f>
        <v>0</v>
      </c>
      <c r="K120" s="371"/>
      <c r="L120" s="43"/>
      <c r="M120" s="771"/>
    </row>
    <row r="121" spans="1:13" s="139" customFormat="1" ht="12.75" hidden="1" customHeight="1" thickBot="1" x14ac:dyDescent="0.25">
      <c r="A121" s="820">
        <v>111</v>
      </c>
      <c r="B121" s="138" t="s">
        <v>185</v>
      </c>
      <c r="C121" s="41" t="s">
        <v>186</v>
      </c>
      <c r="D121" s="422">
        <f>'68.04-PERS.VARSTNICE'!D121+'68.02.05 CUMULAT AP+SF.NIC'!D121+'68.06 centralizat'!D121+'68.15.01-AJ SOC'!D121+'68.15.02-CANTINA'!D121+'68.50.50 rest DAS+CPFA'!D121</f>
        <v>0</v>
      </c>
      <c r="E121" s="422">
        <f>'68.04-PERS.VARSTNICE'!E121+'68.02.05 CUMULAT AP+SF.NIC'!E121+'68.06 centralizat'!E121+'68.15.01-AJ SOC'!E121+'68.15.02-CANTINA'!E121+'68.50.50 rest DAS+CPFA'!E121</f>
        <v>0</v>
      </c>
      <c r="F121" s="422">
        <f>'68.04-PERS.VARSTNICE'!F121+'68.02.05 CUMULAT AP+SF.NIC'!F121+'68.06 centralizat'!F121+'68.15.01-AJ SOC'!F121+'68.15.02-CANTINA'!F121+'68.50.50 rest DAS+CPFA'!F121</f>
        <v>0</v>
      </c>
      <c r="G121" s="422">
        <f>'68.04-PERS.VARSTNICE'!G121+'68.02.05 CUMULAT AP+SF.NIC'!G121+'68.06 centralizat'!G121+'68.15.01-AJ SOC'!G121+'68.15.02-CANTINA'!G121+'68.50.50 rest DAS+CPFA'!G121</f>
        <v>0</v>
      </c>
      <c r="H121" s="422">
        <f>'68.04-PERS.VARSTNICE'!H121+'68.02.05 CUMULAT AP+SF.NIC'!H121+'68.06 centralizat'!H121+'68.15.01-AJ SOC'!H121+'68.15.02-CANTINA'!H121+'68.50.50 rest DAS+CPFA'!H121</f>
        <v>0</v>
      </c>
      <c r="I121" s="422">
        <f>'68.04-PERS.VARSTNICE'!I121+'68.02.05 CUMULAT AP+SF.NIC'!I121+'68.06 centralizat'!I121+'68.15.01-AJ SOC'!I121+'68.15.02-CANTINA'!I121+'68.50.50 rest DAS+CPFA'!I121</f>
        <v>0</v>
      </c>
      <c r="J121" s="422">
        <f>'68.04-PERS.VARSTNICE'!J121+'68.02.05 CUMULAT AP+SF.NIC'!J121+'68.06 centralizat'!J121+'68.15.01-AJ SOC'!J121+'68.15.02-CANTINA'!J121+'68.50.50 rest DAS+CPFA'!J121</f>
        <v>0</v>
      </c>
      <c r="K121" s="371"/>
      <c r="L121" s="43"/>
      <c r="M121" s="771"/>
    </row>
    <row r="122" spans="1:13" s="139" customFormat="1" ht="25.5" customHeight="1" thickBot="1" x14ac:dyDescent="0.25">
      <c r="A122" s="689">
        <v>112</v>
      </c>
      <c r="B122" s="314" t="s">
        <v>187</v>
      </c>
      <c r="C122" s="56" t="s">
        <v>188</v>
      </c>
      <c r="D122" s="422">
        <f>'68.04-PERS.VARSTNICE'!D122+'68.02.05 CUMULAT AP+SF.NIC'!D122+'68.06 centralizat'!D122+'68.15.01-AJ SOC'!D122+'68.15.02-CANTINA'!D122+'68.50.50 rest DAS+CPFA'!D122</f>
        <v>0</v>
      </c>
      <c r="E122" s="422">
        <f>'68.04-PERS.VARSTNICE'!E122+'68.02.05 CUMULAT AP+SF.NIC'!E122+'68.06 centralizat'!E122+'68.15.01-AJ SOC'!E122+'68.15.02-CANTINA'!E122+'68.50.50 rest DAS+CPFA'!E122</f>
        <v>0</v>
      </c>
      <c r="F122" s="422">
        <f>'68.04-PERS.VARSTNICE'!F122+'68.02.05 CUMULAT AP+SF.NIC'!F122+'68.06 centralizat'!F122+'68.15.01-AJ SOC'!F122+'68.15.02-CANTINA'!F122+'68.50.50 rest DAS+CPFA'!F122</f>
        <v>0</v>
      </c>
      <c r="G122" s="422">
        <f>'68.04-PERS.VARSTNICE'!G122+'68.02.05 CUMULAT AP+SF.NIC'!G122+'68.06 centralizat'!G122+'68.15.01-AJ SOC'!G122+'68.15.02-CANTINA'!G122+'68.50.50 rest DAS+CPFA'!G122</f>
        <v>0</v>
      </c>
      <c r="H122" s="422">
        <f>'68.04-PERS.VARSTNICE'!H122+'68.02.05 CUMULAT AP+SF.NIC'!H122+'68.06 centralizat'!H122+'68.15.01-AJ SOC'!H122+'68.15.02-CANTINA'!H122+'68.50.50 rest DAS+CPFA'!H122</f>
        <v>0</v>
      </c>
      <c r="I122" s="422">
        <f>'68.04-PERS.VARSTNICE'!I122+'68.02.05 CUMULAT AP+SF.NIC'!I122+'68.06 centralizat'!I122+'68.15.01-AJ SOC'!I122+'68.15.02-CANTINA'!I122+'68.50.50 rest DAS+CPFA'!I122</f>
        <v>0</v>
      </c>
      <c r="J122" s="422">
        <f>'68.04-PERS.VARSTNICE'!J122+'68.02.05 CUMULAT AP+SF.NIC'!J122+'68.06 centralizat'!J122+'68.15.01-AJ SOC'!J122+'68.15.02-CANTINA'!J122+'68.50.50 rest DAS+CPFA'!J122</f>
        <v>0</v>
      </c>
      <c r="K122" s="332"/>
      <c r="L122" s="431"/>
      <c r="M122" s="904"/>
    </row>
    <row r="123" spans="1:13" s="139" customFormat="1" ht="12.75" hidden="1" customHeight="1" thickBot="1" x14ac:dyDescent="0.25">
      <c r="A123" s="820">
        <v>113</v>
      </c>
      <c r="B123" s="138" t="s">
        <v>189</v>
      </c>
      <c r="C123" s="56" t="s">
        <v>190</v>
      </c>
      <c r="D123" s="422">
        <f>'68.04-PERS.VARSTNICE'!D123+'68.02.05 CUMULAT AP+SF.NIC'!D123+'68.06 centralizat'!D123+'68.15.01-AJ SOC'!D123+'68.15.02-CANTINA'!D123+'68.50.50 rest DAS+CPFA'!D123</f>
        <v>0</v>
      </c>
      <c r="E123" s="422">
        <f>'68.04-PERS.VARSTNICE'!E123+'68.02.05 CUMULAT AP+SF.NIC'!E123+'68.06 centralizat'!E123+'68.15.01-AJ SOC'!E123+'68.15.02-CANTINA'!E123+'68.50.50 rest DAS+CPFA'!E123</f>
        <v>0</v>
      </c>
      <c r="F123" s="422">
        <f>'68.04-PERS.VARSTNICE'!F123+'68.02.05 CUMULAT AP+SF.NIC'!F123+'68.06 centralizat'!F123+'68.15.01-AJ SOC'!F123+'68.15.02-CANTINA'!F123+'68.50.50 rest DAS+CPFA'!F123</f>
        <v>0</v>
      </c>
      <c r="G123" s="422">
        <f>'68.04-PERS.VARSTNICE'!G123+'68.02.05 CUMULAT AP+SF.NIC'!G123+'68.06 centralizat'!G123+'68.15.01-AJ SOC'!G123+'68.15.02-CANTINA'!G123+'68.50.50 rest DAS+CPFA'!G123</f>
        <v>0</v>
      </c>
      <c r="H123" s="422">
        <f>'68.04-PERS.VARSTNICE'!H123+'68.02.05 CUMULAT AP+SF.NIC'!H123+'68.06 centralizat'!H123+'68.15.01-AJ SOC'!H123+'68.15.02-CANTINA'!H123+'68.50.50 rest DAS+CPFA'!H123</f>
        <v>0</v>
      </c>
      <c r="I123" s="422">
        <f>'68.04-PERS.VARSTNICE'!I123+'68.02.05 CUMULAT AP+SF.NIC'!I123+'68.06 centralizat'!I123+'68.15.01-AJ SOC'!I123+'68.15.02-CANTINA'!I123+'68.50.50 rest DAS+CPFA'!I123</f>
        <v>0</v>
      </c>
      <c r="J123" s="422">
        <f>'68.04-PERS.VARSTNICE'!J123+'68.02.05 CUMULAT AP+SF.NIC'!J123+'68.06 centralizat'!J123+'68.15.01-AJ SOC'!J123+'68.15.02-CANTINA'!J123+'68.50.50 rest DAS+CPFA'!J123</f>
        <v>0</v>
      </c>
      <c r="K123" s="332"/>
      <c r="L123" s="431"/>
      <c r="M123" s="904"/>
    </row>
    <row r="124" spans="1:13" s="139" customFormat="1" ht="12.75" hidden="1" customHeight="1" thickBot="1" x14ac:dyDescent="0.25">
      <c r="A124" s="689">
        <v>114</v>
      </c>
      <c r="B124" s="138" t="s">
        <v>191</v>
      </c>
      <c r="C124" s="41" t="s">
        <v>272</v>
      </c>
      <c r="D124" s="422">
        <f>'68.04-PERS.VARSTNICE'!D124+'68.02.05 CUMULAT AP+SF.NIC'!D124+'68.06 centralizat'!D124+'68.15.01-AJ SOC'!D124+'68.15.02-CANTINA'!D124+'68.50.50 rest DAS+CPFA'!D124</f>
        <v>0</v>
      </c>
      <c r="E124" s="422">
        <f>'68.04-PERS.VARSTNICE'!E124+'68.02.05 CUMULAT AP+SF.NIC'!E124+'68.06 centralizat'!E124+'68.15.01-AJ SOC'!E124+'68.15.02-CANTINA'!E124+'68.50.50 rest DAS+CPFA'!E124</f>
        <v>0</v>
      </c>
      <c r="F124" s="422">
        <f>'68.04-PERS.VARSTNICE'!F124+'68.02.05 CUMULAT AP+SF.NIC'!F124+'68.06 centralizat'!F124+'68.15.01-AJ SOC'!F124+'68.15.02-CANTINA'!F124+'68.50.50 rest DAS+CPFA'!F124</f>
        <v>0</v>
      </c>
      <c r="G124" s="422">
        <f>'68.04-PERS.VARSTNICE'!G124+'68.02.05 CUMULAT AP+SF.NIC'!G124+'68.06 centralizat'!G124+'68.15.01-AJ SOC'!G124+'68.15.02-CANTINA'!G124+'68.50.50 rest DAS+CPFA'!G124</f>
        <v>0</v>
      </c>
      <c r="H124" s="422">
        <f>'68.04-PERS.VARSTNICE'!H124+'68.02.05 CUMULAT AP+SF.NIC'!H124+'68.06 centralizat'!H124+'68.15.01-AJ SOC'!H124+'68.15.02-CANTINA'!H124+'68.50.50 rest DAS+CPFA'!H124</f>
        <v>0</v>
      </c>
      <c r="I124" s="422">
        <f>'68.04-PERS.VARSTNICE'!I124+'68.02.05 CUMULAT AP+SF.NIC'!I124+'68.06 centralizat'!I124+'68.15.01-AJ SOC'!I124+'68.15.02-CANTINA'!I124+'68.50.50 rest DAS+CPFA'!I124</f>
        <v>0</v>
      </c>
      <c r="J124" s="422">
        <f>'68.04-PERS.VARSTNICE'!J124+'68.02.05 CUMULAT AP+SF.NIC'!J124+'68.06 centralizat'!J124+'68.15.01-AJ SOC'!J124+'68.15.02-CANTINA'!J124+'68.50.50 rest DAS+CPFA'!J124</f>
        <v>0</v>
      </c>
      <c r="K124" s="332"/>
      <c r="L124" s="431"/>
      <c r="M124" s="904"/>
    </row>
    <row r="125" spans="1:13" s="139" customFormat="1" ht="12.75" customHeight="1" thickBot="1" x14ac:dyDescent="0.25">
      <c r="A125" s="820">
        <v>115</v>
      </c>
      <c r="B125" s="314" t="s">
        <v>298</v>
      </c>
      <c r="C125" s="56" t="s">
        <v>194</v>
      </c>
      <c r="D125" s="422">
        <f>'68.04-PERS.VARSTNICE'!D125+'68.02.05 CUMULAT AP+SF.NIC'!D125+'68.06 centralizat'!D125+'68.15.01-AJ SOC'!D125+'68.15.02-CANTINA'!D125+'68.50.50 rest DAS+CPFA'!D125</f>
        <v>0</v>
      </c>
      <c r="E125" s="422">
        <f>'68.04-PERS.VARSTNICE'!E125+'68.02.05 CUMULAT AP+SF.NIC'!E125+'68.06 centralizat'!E125+'68.15.01-AJ SOC'!E125+'68.15.02-CANTINA'!E125+'68.50.50 rest DAS+CPFA'!E125</f>
        <v>0</v>
      </c>
      <c r="F125" s="422">
        <f>'68.04-PERS.VARSTNICE'!F125+'68.02.05 CUMULAT AP+SF.NIC'!F125+'68.06 centralizat'!F125+'68.15.01-AJ SOC'!F125+'68.15.02-CANTINA'!F125+'68.50.50 rest DAS+CPFA'!F125</f>
        <v>0</v>
      </c>
      <c r="G125" s="422">
        <f>'68.04-PERS.VARSTNICE'!G125+'68.02.05 CUMULAT AP+SF.NIC'!G125+'68.06 centralizat'!G125+'68.15.01-AJ SOC'!G125+'68.15.02-CANTINA'!G125+'68.50.50 rest DAS+CPFA'!G125</f>
        <v>0</v>
      </c>
      <c r="H125" s="422">
        <f>'68.04-PERS.VARSTNICE'!H125+'68.02.05 CUMULAT AP+SF.NIC'!H125+'68.06 centralizat'!H125+'68.15.01-AJ SOC'!H125+'68.15.02-CANTINA'!H125+'68.50.50 rest DAS+CPFA'!H125</f>
        <v>0</v>
      </c>
      <c r="I125" s="422">
        <f>'68.04-PERS.VARSTNICE'!I125+'68.02.05 CUMULAT AP+SF.NIC'!I125+'68.06 centralizat'!I125+'68.15.01-AJ SOC'!I125+'68.15.02-CANTINA'!I125+'68.50.50 rest DAS+CPFA'!I125</f>
        <v>0</v>
      </c>
      <c r="J125" s="422">
        <f>'68.04-PERS.VARSTNICE'!J125+'68.02.05 CUMULAT AP+SF.NIC'!J125+'68.06 centralizat'!J125+'68.15.01-AJ SOC'!J125+'68.15.02-CANTINA'!J125+'68.50.50 rest DAS+CPFA'!J125</f>
        <v>0</v>
      </c>
      <c r="K125" s="332"/>
      <c r="L125" s="431"/>
      <c r="M125" s="904"/>
    </row>
    <row r="126" spans="1:13" s="139" customFormat="1" ht="12.75" customHeight="1" thickBot="1" x14ac:dyDescent="0.25">
      <c r="A126" s="689">
        <v>116</v>
      </c>
      <c r="B126" s="138" t="s">
        <v>195</v>
      </c>
      <c r="C126" s="41" t="s">
        <v>196</v>
      </c>
      <c r="D126" s="422">
        <f>'68.04-PERS.VARSTNICE'!D126+'68.02.05 CUMULAT AP+SF.NIC'!D126+'68.06 centralizat'!D126+'68.15.01-AJ SOC'!D126+'68.15.02-CANTINA'!D126+'68.50.50 rest DAS+CPFA'!D126</f>
        <v>0</v>
      </c>
      <c r="E126" s="422">
        <f>'68.04-PERS.VARSTNICE'!E126+'68.02.05 CUMULAT AP+SF.NIC'!E126+'68.06 centralizat'!E126+'68.15.01-AJ SOC'!E126+'68.15.02-CANTINA'!E126+'68.50.50 rest DAS+CPFA'!E126</f>
        <v>0</v>
      </c>
      <c r="F126" s="422">
        <f>'68.04-PERS.VARSTNICE'!F126+'68.02.05 CUMULAT AP+SF.NIC'!F126+'68.06 centralizat'!F126+'68.15.01-AJ SOC'!F126+'68.15.02-CANTINA'!F126+'68.50.50 rest DAS+CPFA'!F126</f>
        <v>0</v>
      </c>
      <c r="G126" s="422">
        <f>'68.04-PERS.VARSTNICE'!G126+'68.02.05 CUMULAT AP+SF.NIC'!G126+'68.06 centralizat'!G126+'68.15.01-AJ SOC'!G126+'68.15.02-CANTINA'!G126+'68.50.50 rest DAS+CPFA'!G126</f>
        <v>0</v>
      </c>
      <c r="H126" s="422">
        <f>'68.04-PERS.VARSTNICE'!H126+'68.02.05 CUMULAT AP+SF.NIC'!H126+'68.06 centralizat'!H126+'68.15.01-AJ SOC'!H126+'68.15.02-CANTINA'!H126+'68.50.50 rest DAS+CPFA'!H126</f>
        <v>0</v>
      </c>
      <c r="I126" s="422">
        <f>'68.04-PERS.VARSTNICE'!I126+'68.02.05 CUMULAT AP+SF.NIC'!I126+'68.06 centralizat'!I126+'68.15.01-AJ SOC'!I126+'68.15.02-CANTINA'!I126+'68.50.50 rest DAS+CPFA'!I126</f>
        <v>0</v>
      </c>
      <c r="J126" s="422">
        <f>'68.04-PERS.VARSTNICE'!J126+'68.02.05 CUMULAT AP+SF.NIC'!J126+'68.06 centralizat'!J126+'68.15.01-AJ SOC'!J126+'68.15.02-CANTINA'!J126+'68.50.50 rest DAS+CPFA'!J126</f>
        <v>0</v>
      </c>
      <c r="K126" s="332"/>
      <c r="L126" s="431"/>
      <c r="M126" s="904"/>
    </row>
    <row r="127" spans="1:13" s="139" customFormat="1" ht="12.75" customHeight="1" thickBot="1" x14ac:dyDescent="0.25">
      <c r="A127" s="820">
        <v>117</v>
      </c>
      <c r="B127" s="138" t="s">
        <v>191</v>
      </c>
      <c r="C127" s="41" t="s">
        <v>197</v>
      </c>
      <c r="D127" s="422">
        <f>'68.04-PERS.VARSTNICE'!D127+'68.02.05 CUMULAT AP+SF.NIC'!D127+'68.06 centralizat'!D127+'68.15.01-AJ SOC'!D127+'68.15.02-CANTINA'!D127+'68.50.50 rest DAS+CPFA'!D127</f>
        <v>0</v>
      </c>
      <c r="E127" s="422">
        <f>'68.04-PERS.VARSTNICE'!E127+'68.02.05 CUMULAT AP+SF.NIC'!E127+'68.06 centralizat'!E127+'68.15.01-AJ SOC'!E127+'68.15.02-CANTINA'!E127+'68.50.50 rest DAS+CPFA'!E127</f>
        <v>0</v>
      </c>
      <c r="F127" s="422">
        <f>'68.04-PERS.VARSTNICE'!F127+'68.02.05 CUMULAT AP+SF.NIC'!F127+'68.06 centralizat'!F127+'68.15.01-AJ SOC'!F127+'68.15.02-CANTINA'!F127+'68.50.50 rest DAS+CPFA'!F127</f>
        <v>0</v>
      </c>
      <c r="G127" s="422">
        <f>'68.04-PERS.VARSTNICE'!G127+'68.02.05 CUMULAT AP+SF.NIC'!G127+'68.06 centralizat'!G127+'68.15.01-AJ SOC'!G127+'68.15.02-CANTINA'!G127+'68.50.50 rest DAS+CPFA'!G127</f>
        <v>0</v>
      </c>
      <c r="H127" s="422">
        <f>'68.04-PERS.VARSTNICE'!H127+'68.02.05 CUMULAT AP+SF.NIC'!H127+'68.06 centralizat'!H127+'68.15.01-AJ SOC'!H127+'68.15.02-CANTINA'!H127+'68.50.50 rest DAS+CPFA'!H127</f>
        <v>0</v>
      </c>
      <c r="I127" s="422">
        <f>'68.04-PERS.VARSTNICE'!I127+'68.02.05 CUMULAT AP+SF.NIC'!I127+'68.06 centralizat'!I127+'68.15.01-AJ SOC'!I127+'68.15.02-CANTINA'!I127+'68.50.50 rest DAS+CPFA'!I127</f>
        <v>0</v>
      </c>
      <c r="J127" s="422">
        <f>'68.04-PERS.VARSTNICE'!J127+'68.02.05 CUMULAT AP+SF.NIC'!J127+'68.06 centralizat'!J127+'68.15.01-AJ SOC'!J127+'68.15.02-CANTINA'!J127+'68.50.50 rest DAS+CPFA'!J127</f>
        <v>0</v>
      </c>
      <c r="K127" s="332"/>
      <c r="L127" s="431"/>
      <c r="M127" s="904"/>
    </row>
    <row r="128" spans="1:13" s="139" customFormat="1" ht="25.5" customHeight="1" thickBot="1" x14ac:dyDescent="0.25">
      <c r="A128" s="689">
        <v>118</v>
      </c>
      <c r="B128" s="314" t="s">
        <v>198</v>
      </c>
      <c r="C128" s="56" t="s">
        <v>199</v>
      </c>
      <c r="D128" s="422">
        <f>'68.04-PERS.VARSTNICE'!D128+'68.02.05 CUMULAT AP+SF.NIC'!D128+'68.06 centralizat'!D128+'68.15.01-AJ SOC'!D128+'68.15.02-CANTINA'!D128+'68.50.50 rest DAS+CPFA'!D128</f>
        <v>0</v>
      </c>
      <c r="E128" s="422">
        <f>'68.04-PERS.VARSTNICE'!E128+'68.02.05 CUMULAT AP+SF.NIC'!E128+'68.06 centralizat'!E128+'68.15.01-AJ SOC'!E128+'68.15.02-CANTINA'!E128+'68.50.50 rest DAS+CPFA'!E128</f>
        <v>0</v>
      </c>
      <c r="F128" s="422">
        <f>'68.04-PERS.VARSTNICE'!F128+'68.02.05 CUMULAT AP+SF.NIC'!F128+'68.06 centralizat'!F128+'68.15.01-AJ SOC'!F128+'68.15.02-CANTINA'!F128+'68.50.50 rest DAS+CPFA'!F128</f>
        <v>0</v>
      </c>
      <c r="G128" s="422">
        <f>'68.04-PERS.VARSTNICE'!G128+'68.02.05 CUMULAT AP+SF.NIC'!G128+'68.06 centralizat'!G128+'68.15.01-AJ SOC'!G128+'68.15.02-CANTINA'!G128+'68.50.50 rest DAS+CPFA'!G128</f>
        <v>0</v>
      </c>
      <c r="H128" s="422">
        <f>'68.04-PERS.VARSTNICE'!H128+'68.02.05 CUMULAT AP+SF.NIC'!H128+'68.06 centralizat'!H128+'68.15.01-AJ SOC'!H128+'68.15.02-CANTINA'!H128+'68.50.50 rest DAS+CPFA'!H128</f>
        <v>0</v>
      </c>
      <c r="I128" s="422">
        <f>'68.04-PERS.VARSTNICE'!I128+'68.02.05 CUMULAT AP+SF.NIC'!I128+'68.06 centralizat'!I128+'68.15.01-AJ SOC'!I128+'68.15.02-CANTINA'!I128+'68.50.50 rest DAS+CPFA'!I128</f>
        <v>0</v>
      </c>
      <c r="J128" s="422">
        <f>'68.04-PERS.VARSTNICE'!J128+'68.02.05 CUMULAT AP+SF.NIC'!J128+'68.06 centralizat'!J128+'68.15.01-AJ SOC'!J128+'68.15.02-CANTINA'!J128+'68.50.50 rest DAS+CPFA'!J128</f>
        <v>0</v>
      </c>
      <c r="K128" s="332"/>
      <c r="L128" s="431"/>
      <c r="M128" s="904"/>
    </row>
    <row r="129" spans="1:15" s="139" customFormat="1" ht="12.75" customHeight="1" thickBot="1" x14ac:dyDescent="0.25">
      <c r="A129" s="820">
        <v>119</v>
      </c>
      <c r="B129" s="138" t="s">
        <v>200</v>
      </c>
      <c r="C129" s="41" t="s">
        <v>201</v>
      </c>
      <c r="D129" s="422">
        <f>'68.04-PERS.VARSTNICE'!D129+'68.02.05 CUMULAT AP+SF.NIC'!D129+'68.06 centralizat'!D129+'68.15.01-AJ SOC'!D129+'68.15.02-CANTINA'!D129+'68.50.50 rest DAS+CPFA'!D129</f>
        <v>0</v>
      </c>
      <c r="E129" s="422">
        <f>'68.04-PERS.VARSTNICE'!E129+'68.02.05 CUMULAT AP+SF.NIC'!E129+'68.06 centralizat'!E129+'68.15.01-AJ SOC'!E129+'68.15.02-CANTINA'!E129+'68.50.50 rest DAS+CPFA'!E129</f>
        <v>0</v>
      </c>
      <c r="F129" s="422">
        <f>'68.04-PERS.VARSTNICE'!F129+'68.02.05 CUMULAT AP+SF.NIC'!F129+'68.06 centralizat'!F129+'68.15.01-AJ SOC'!F129+'68.15.02-CANTINA'!F129+'68.50.50 rest DAS+CPFA'!F129</f>
        <v>0</v>
      </c>
      <c r="G129" s="422">
        <f>'68.04-PERS.VARSTNICE'!G129+'68.02.05 CUMULAT AP+SF.NIC'!G129+'68.06 centralizat'!G129+'68.15.01-AJ SOC'!G129+'68.15.02-CANTINA'!G129+'68.50.50 rest DAS+CPFA'!G129</f>
        <v>0</v>
      </c>
      <c r="H129" s="422">
        <f>'68.04-PERS.VARSTNICE'!H129+'68.02.05 CUMULAT AP+SF.NIC'!H129+'68.06 centralizat'!H129+'68.15.01-AJ SOC'!H129+'68.15.02-CANTINA'!H129+'68.50.50 rest DAS+CPFA'!H129</f>
        <v>0</v>
      </c>
      <c r="I129" s="422">
        <f>'68.04-PERS.VARSTNICE'!I129+'68.02.05 CUMULAT AP+SF.NIC'!I129+'68.06 centralizat'!I129+'68.15.01-AJ SOC'!I129+'68.15.02-CANTINA'!I129+'68.50.50 rest DAS+CPFA'!I129</f>
        <v>0</v>
      </c>
      <c r="J129" s="422">
        <f>'68.04-PERS.VARSTNICE'!J129+'68.02.05 CUMULAT AP+SF.NIC'!J129+'68.06 centralizat'!J129+'68.15.01-AJ SOC'!J129+'68.15.02-CANTINA'!J129+'68.50.50 rest DAS+CPFA'!J129</f>
        <v>0</v>
      </c>
      <c r="K129" s="332"/>
      <c r="L129" s="431"/>
      <c r="M129" s="904"/>
    </row>
    <row r="130" spans="1:15" s="139" customFormat="1" ht="12.75" hidden="1" customHeight="1" thickBot="1" x14ac:dyDescent="0.25">
      <c r="A130" s="689">
        <v>120</v>
      </c>
      <c r="B130" s="138" t="s">
        <v>202</v>
      </c>
      <c r="C130" s="41" t="s">
        <v>203</v>
      </c>
      <c r="D130" s="422">
        <f>'68.04-PERS.VARSTNICE'!D130+'68.02.05 CUMULAT AP+SF.NIC'!D130+'68.06 centralizat'!D130+'68.15.01-AJ SOC'!D130+'68.15.02-CANTINA'!D130+'68.50.50 rest DAS+CPFA'!D130</f>
        <v>0</v>
      </c>
      <c r="E130" s="422">
        <f>'68.04-PERS.VARSTNICE'!E130+'68.02.05 CUMULAT AP+SF.NIC'!E130+'68.06 centralizat'!E130+'68.15.01-AJ SOC'!E130+'68.15.02-CANTINA'!E130+'68.50.50 rest DAS+CPFA'!E130</f>
        <v>0</v>
      </c>
      <c r="F130" s="422">
        <f>'68.04-PERS.VARSTNICE'!F130+'68.02.05 CUMULAT AP+SF.NIC'!F130+'68.06 centralizat'!F130+'68.15.01-AJ SOC'!F130+'68.15.02-CANTINA'!F130+'68.50.50 rest DAS+CPFA'!F130</f>
        <v>0</v>
      </c>
      <c r="G130" s="422">
        <f>'68.04-PERS.VARSTNICE'!G130+'68.02.05 CUMULAT AP+SF.NIC'!G130+'68.06 centralizat'!G130+'68.15.01-AJ SOC'!G130+'68.15.02-CANTINA'!G130+'68.50.50 rest DAS+CPFA'!G130</f>
        <v>0</v>
      </c>
      <c r="H130" s="422">
        <f>'68.04-PERS.VARSTNICE'!H130+'68.02.05 CUMULAT AP+SF.NIC'!H130+'68.06 centralizat'!H130+'68.15.01-AJ SOC'!H130+'68.15.02-CANTINA'!H130+'68.50.50 rest DAS+CPFA'!H130</f>
        <v>0</v>
      </c>
      <c r="I130" s="422">
        <f>'68.04-PERS.VARSTNICE'!I130+'68.02.05 CUMULAT AP+SF.NIC'!I130+'68.06 centralizat'!I130+'68.15.01-AJ SOC'!I130+'68.15.02-CANTINA'!I130+'68.50.50 rest DAS+CPFA'!I130</f>
        <v>0</v>
      </c>
      <c r="J130" s="422">
        <f>'68.04-PERS.VARSTNICE'!J130+'68.02.05 CUMULAT AP+SF.NIC'!J130+'68.06 centralizat'!J130+'68.15.01-AJ SOC'!J130+'68.15.02-CANTINA'!J130+'68.50.50 rest DAS+CPFA'!J130</f>
        <v>0</v>
      </c>
      <c r="K130" s="332"/>
      <c r="L130" s="431"/>
      <c r="M130" s="904"/>
    </row>
    <row r="131" spans="1:15" s="139" customFormat="1" ht="12.75" customHeight="1" thickBot="1" x14ac:dyDescent="0.25">
      <c r="A131" s="820">
        <v>121</v>
      </c>
      <c r="B131" s="138" t="s">
        <v>204</v>
      </c>
      <c r="C131" s="41" t="s">
        <v>205</v>
      </c>
      <c r="D131" s="422">
        <f>'68.04-PERS.VARSTNICE'!D131+'68.02.05 CUMULAT AP+SF.NIC'!D131+'68.06 centralizat'!D131+'68.15.01-AJ SOC'!D131+'68.15.02-CANTINA'!D131+'68.50.50 rest DAS+CPFA'!D131</f>
        <v>0</v>
      </c>
      <c r="E131" s="422">
        <f>'68.04-PERS.VARSTNICE'!E131+'68.02.05 CUMULAT AP+SF.NIC'!E131+'68.06 centralizat'!E131+'68.15.01-AJ SOC'!E131+'68.15.02-CANTINA'!E131+'68.50.50 rest DAS+CPFA'!E131</f>
        <v>0</v>
      </c>
      <c r="F131" s="422">
        <f>'68.04-PERS.VARSTNICE'!F131+'68.02.05 CUMULAT AP+SF.NIC'!F131+'68.06 centralizat'!F131+'68.15.01-AJ SOC'!F131+'68.15.02-CANTINA'!F131+'68.50.50 rest DAS+CPFA'!F131</f>
        <v>0</v>
      </c>
      <c r="G131" s="422">
        <f>'68.04-PERS.VARSTNICE'!G131+'68.02.05 CUMULAT AP+SF.NIC'!G131+'68.06 centralizat'!G131+'68.15.01-AJ SOC'!G131+'68.15.02-CANTINA'!G131+'68.50.50 rest DAS+CPFA'!G131</f>
        <v>0</v>
      </c>
      <c r="H131" s="422">
        <f>'68.04-PERS.VARSTNICE'!H131+'68.02.05 CUMULAT AP+SF.NIC'!H131+'68.06 centralizat'!H131+'68.15.01-AJ SOC'!H131+'68.15.02-CANTINA'!H131+'68.50.50 rest DAS+CPFA'!H131</f>
        <v>0</v>
      </c>
      <c r="I131" s="422">
        <f>'68.04-PERS.VARSTNICE'!I131+'68.02.05 CUMULAT AP+SF.NIC'!I131+'68.06 centralizat'!I131+'68.15.01-AJ SOC'!I131+'68.15.02-CANTINA'!I131+'68.50.50 rest DAS+CPFA'!I131</f>
        <v>0</v>
      </c>
      <c r="J131" s="422">
        <f>'68.04-PERS.VARSTNICE'!J131+'68.02.05 CUMULAT AP+SF.NIC'!J131+'68.06 centralizat'!J131+'68.15.01-AJ SOC'!J131+'68.15.02-CANTINA'!J131+'68.50.50 rest DAS+CPFA'!J131</f>
        <v>0</v>
      </c>
      <c r="K131" s="332"/>
      <c r="L131" s="431"/>
      <c r="M131" s="904"/>
    </row>
    <row r="132" spans="1:15" s="4" customFormat="1" ht="12.75" customHeight="1" thickBot="1" x14ac:dyDescent="0.25">
      <c r="A132" s="689">
        <v>122</v>
      </c>
      <c r="B132" s="140" t="s">
        <v>206</v>
      </c>
      <c r="C132" s="56" t="s">
        <v>207</v>
      </c>
      <c r="D132" s="422">
        <f>'68.04-PERS.VARSTNICE'!D132+'68.02.05 CUMULAT AP+SF.NIC'!D132+'68.06 centralizat'!D132+'68.15.01-AJ SOC'!D132+'68.15.02-CANTINA'!D132+'68.50.50 rest DAS+CPFA'!D132</f>
        <v>7852.6</v>
      </c>
      <c r="E132" s="422">
        <f>'68.04-PERS.VARSTNICE'!E132+'68.02.05 CUMULAT AP+SF.NIC'!E132+'68.06 centralizat'!E132+'68.15.01-AJ SOC'!E132+'68.15.02-CANTINA'!E132+'68.50.50 rest DAS+CPFA'!E132</f>
        <v>0</v>
      </c>
      <c r="F132" s="422">
        <f>'68.04-PERS.VARSTNICE'!F132+'68.02.05 CUMULAT AP+SF.NIC'!F132+'68.06 centralizat'!F132+'68.15.01-AJ SOC'!F132+'68.15.02-CANTINA'!F132+'68.50.50 rest DAS+CPFA'!F132</f>
        <v>4013.6</v>
      </c>
      <c r="G132" s="422">
        <f>'68.04-PERS.VARSTNICE'!G132+'68.02.05 CUMULAT AP+SF.NIC'!G132+'68.06 centralizat'!G132+'68.15.01-AJ SOC'!G132+'68.15.02-CANTINA'!G132+'68.50.50 rest DAS+CPFA'!G132</f>
        <v>3030</v>
      </c>
      <c r="H132" s="422">
        <f>'68.04-PERS.VARSTNICE'!H132+'68.02.05 CUMULAT AP+SF.NIC'!H132+'68.06 centralizat'!H132+'68.15.01-AJ SOC'!H132+'68.15.02-CANTINA'!H132+'68.50.50 rest DAS+CPFA'!H132</f>
        <v>437</v>
      </c>
      <c r="I132" s="422">
        <f>'68.04-PERS.VARSTNICE'!I132+'68.02.05 CUMULAT AP+SF.NIC'!I132+'68.06 centralizat'!I132+'68.15.01-AJ SOC'!I132+'68.15.02-CANTINA'!I132+'68.50.50 rest DAS+CPFA'!I132</f>
        <v>546.6</v>
      </c>
      <c r="J132" s="422">
        <f>'68.04-PERS.VARSTNICE'!J132+'68.02.05 CUMULAT AP+SF.NIC'!J132+'68.06 centralizat'!J132+'68.15.01-AJ SOC'!J132+'68.15.02-CANTINA'!J132+'68.50.50 rest DAS+CPFA'!J132</f>
        <v>0</v>
      </c>
      <c r="K132" s="1010">
        <f>'68.04-PERS.VARSTNICE'!K131+'68.02.05.02- AP+IND+RAT'!K132+'68.06 centralizat'!K132+'68.12 CENTRALIZATOR'!K132+'68.15.01-AJ SOC'!K132+'68.15.02-CANTINA'!K132+'68.50.50 rest DAS+CPFA'!K132</f>
        <v>3839</v>
      </c>
      <c r="L132" s="303">
        <f>'68.04-PERS.VARSTNICE'!L131+'68.02.05.02- AP+IND+RAT'!L132+'68.06 centralizat'!L132+'68.12 CENTRALIZATOR'!L132+'68.15.01-AJ SOC'!L132+'68.15.02-CANTINA'!L132+'68.50.50 rest DAS+CPFA'!L132</f>
        <v>0</v>
      </c>
      <c r="M132" s="1011">
        <f>'68.04-PERS.VARSTNICE'!M131+'68.02.05.02- AP+IND+RAT'!M132+'68.06 centralizat'!M132+'68.12 CENTRALIZATOR'!M132+'68.15.01-AJ SOC'!M132+'68.15.02-CANTINA'!M132+'68.50.50 rest DAS+CPFA'!M132</f>
        <v>0</v>
      </c>
    </row>
    <row r="133" spans="1:15" s="4" customFormat="1" ht="12.75" customHeight="1" thickBot="1" x14ac:dyDescent="0.25">
      <c r="A133" s="820">
        <v>123</v>
      </c>
      <c r="B133" s="55" t="s">
        <v>208</v>
      </c>
      <c r="C133" s="75">
        <v>71</v>
      </c>
      <c r="D133" s="422">
        <f>'68.04-PERS.VARSTNICE'!D133+'68.02.05 CUMULAT AP+SF.NIC'!D133+'68.06 centralizat'!D133+'68.15.01-AJ SOC'!D133+'68.15.02-CANTINA'!D133+'68.50.50 rest DAS+CPFA'!D133</f>
        <v>7852.6</v>
      </c>
      <c r="E133" s="422">
        <f>'68.04-PERS.VARSTNICE'!E133+'68.02.05 CUMULAT AP+SF.NIC'!E133+'68.06 centralizat'!E133+'68.15.01-AJ SOC'!E133+'68.15.02-CANTINA'!E133+'68.50.50 rest DAS+CPFA'!E133</f>
        <v>0</v>
      </c>
      <c r="F133" s="422">
        <f>'68.04-PERS.VARSTNICE'!F133+'68.02.05 CUMULAT AP+SF.NIC'!F133+'68.06 centralizat'!F133+'68.15.01-AJ SOC'!F133+'68.15.02-CANTINA'!F133+'68.50.50 rest DAS+CPFA'!F133</f>
        <v>4013.6</v>
      </c>
      <c r="G133" s="422">
        <f>'68.04-PERS.VARSTNICE'!G133+'68.02.05 CUMULAT AP+SF.NIC'!G133+'68.06 centralizat'!G133+'68.15.01-AJ SOC'!G133+'68.15.02-CANTINA'!G133+'68.50.50 rest DAS+CPFA'!G133</f>
        <v>3030</v>
      </c>
      <c r="H133" s="422">
        <f>'68.04-PERS.VARSTNICE'!H133+'68.02.05 CUMULAT AP+SF.NIC'!H133+'68.06 centralizat'!H133+'68.15.01-AJ SOC'!H133+'68.15.02-CANTINA'!H133+'68.50.50 rest DAS+CPFA'!H133</f>
        <v>437</v>
      </c>
      <c r="I133" s="422">
        <f>'68.04-PERS.VARSTNICE'!I133+'68.02.05 CUMULAT AP+SF.NIC'!I133+'68.06 centralizat'!I133+'68.15.01-AJ SOC'!I133+'68.15.02-CANTINA'!I133+'68.50.50 rest DAS+CPFA'!I133</f>
        <v>546.6</v>
      </c>
      <c r="J133" s="422">
        <f>'68.04-PERS.VARSTNICE'!J133+'68.02.05 CUMULAT AP+SF.NIC'!J133+'68.06 centralizat'!J133+'68.15.01-AJ SOC'!J133+'68.15.02-CANTINA'!J133+'68.50.50 rest DAS+CPFA'!J133</f>
        <v>0</v>
      </c>
      <c r="K133" s="1010">
        <f>'68.04-PERS.VARSTNICE'!K132+'68.02.05.02- AP+IND+RAT'!K133+'68.06 centralizat'!K133+'68.12 CENTRALIZATOR'!K133+'68.15.01-AJ SOC'!K133+'68.15.02-CANTINA'!K133+'68.50.50 rest DAS+CPFA'!K133</f>
        <v>3839</v>
      </c>
      <c r="L133" s="303">
        <f>'68.04-PERS.VARSTNICE'!L132+'68.02.05.02- AP+IND+RAT'!L133+'68.06 centralizat'!L133+'68.12 CENTRALIZATOR'!L133+'68.15.01-AJ SOC'!L133+'68.15.02-CANTINA'!L133+'68.50.50 rest DAS+CPFA'!L133</f>
        <v>0</v>
      </c>
      <c r="M133" s="1011">
        <f>'68.04-PERS.VARSTNICE'!M132+'68.02.05.02- AP+IND+RAT'!M133+'68.06 centralizat'!M133+'68.12 CENTRALIZATOR'!M133+'68.15.01-AJ SOC'!M133+'68.15.02-CANTINA'!M133+'68.50.50 rest DAS+CPFA'!M133</f>
        <v>0</v>
      </c>
    </row>
    <row r="134" spans="1:15" s="4" customFormat="1" ht="12.75" customHeight="1" thickBot="1" x14ac:dyDescent="0.25">
      <c r="A134" s="689">
        <v>124</v>
      </c>
      <c r="B134" s="55" t="s">
        <v>209</v>
      </c>
      <c r="C134" s="75" t="s">
        <v>210</v>
      </c>
      <c r="D134" s="422">
        <f>'68.04-PERS.VARSTNICE'!D134+'68.02.05 CUMULAT AP+SF.NIC'!D134+'68.06 centralizat'!D134+'68.15.01-AJ SOC'!D134+'68.15.02-CANTINA'!D134+'68.50.50 rest DAS+CPFA'!D134</f>
        <v>7852.6</v>
      </c>
      <c r="E134" s="422">
        <f>'68.04-PERS.VARSTNICE'!E134+'68.02.05 CUMULAT AP+SF.NIC'!E134+'68.06 centralizat'!E134+'68.15.01-AJ SOC'!E134+'68.15.02-CANTINA'!E134+'68.50.50 rest DAS+CPFA'!E134</f>
        <v>0</v>
      </c>
      <c r="F134" s="422">
        <f>'68.04-PERS.VARSTNICE'!F134+'68.02.05 CUMULAT AP+SF.NIC'!F134+'68.06 centralizat'!F134+'68.15.01-AJ SOC'!F134+'68.15.02-CANTINA'!F134+'68.50.50 rest DAS+CPFA'!F134</f>
        <v>4013.6</v>
      </c>
      <c r="G134" s="422">
        <f>'68.04-PERS.VARSTNICE'!G134+'68.02.05 CUMULAT AP+SF.NIC'!G134+'68.06 centralizat'!G134+'68.15.01-AJ SOC'!G134+'68.15.02-CANTINA'!G134+'68.50.50 rest DAS+CPFA'!G134</f>
        <v>3030</v>
      </c>
      <c r="H134" s="422">
        <f>'68.04-PERS.VARSTNICE'!H134+'68.02.05 CUMULAT AP+SF.NIC'!H134+'68.06 centralizat'!H134+'68.15.01-AJ SOC'!H134+'68.15.02-CANTINA'!H134+'68.50.50 rest DAS+CPFA'!H134</f>
        <v>437</v>
      </c>
      <c r="I134" s="422">
        <f>'68.04-PERS.VARSTNICE'!I134+'68.02.05 CUMULAT AP+SF.NIC'!I134+'68.06 centralizat'!I134+'68.15.01-AJ SOC'!I134+'68.15.02-CANTINA'!I134+'68.50.50 rest DAS+CPFA'!I134</f>
        <v>546.6</v>
      </c>
      <c r="J134" s="422">
        <f>'68.04-PERS.VARSTNICE'!J134+'68.02.05 CUMULAT AP+SF.NIC'!J134+'68.06 centralizat'!J134+'68.15.01-AJ SOC'!J134+'68.15.02-CANTINA'!J134+'68.50.50 rest DAS+CPFA'!J134</f>
        <v>0</v>
      </c>
      <c r="K134" s="1010"/>
      <c r="L134" s="103"/>
      <c r="M134" s="781"/>
    </row>
    <row r="135" spans="1:15" s="4" customFormat="1" ht="12.75" customHeight="1" thickBot="1" x14ac:dyDescent="0.25">
      <c r="A135" s="820">
        <v>125</v>
      </c>
      <c r="B135" s="59" t="s">
        <v>211</v>
      </c>
      <c r="C135" s="142" t="s">
        <v>212</v>
      </c>
      <c r="D135" s="422">
        <f>'68.04-PERS.VARSTNICE'!D135+'68.02.05 CUMULAT AP+SF.NIC'!D135+'68.06 centralizat'!D135+'68.15.01-AJ SOC'!D135+'68.15.02-CANTINA'!D135+'68.50.50 rest DAS+CPFA'!D135</f>
        <v>7281</v>
      </c>
      <c r="E135" s="422">
        <f>'68.04-PERS.VARSTNICE'!E135+'68.02.05 CUMULAT AP+SF.NIC'!E135+'68.06 centralizat'!E135+'68.15.01-AJ SOC'!E135+'68.15.02-CANTINA'!E135+'68.50.50 rest DAS+CPFA'!E135</f>
        <v>0</v>
      </c>
      <c r="F135" s="422">
        <f>'68.04-PERS.VARSTNICE'!F135+'68.02.05 CUMULAT AP+SF.NIC'!F135+'68.06 centralizat'!F135+'68.15.01-AJ SOC'!F135+'68.15.02-CANTINA'!F135+'68.50.50 rest DAS+CPFA'!F135</f>
        <v>3442</v>
      </c>
      <c r="G135" s="422">
        <f>'68.04-PERS.VARSTNICE'!G135+'68.02.05 CUMULAT AP+SF.NIC'!G135+'68.06 centralizat'!G135+'68.15.01-AJ SOC'!G135+'68.15.02-CANTINA'!G135+'68.50.50 rest DAS+CPFA'!G135</f>
        <v>3010</v>
      </c>
      <c r="H135" s="422">
        <f>'68.04-PERS.VARSTNICE'!H135+'68.02.05 CUMULAT AP+SF.NIC'!H135+'68.06 centralizat'!H135+'68.15.01-AJ SOC'!H135+'68.15.02-CANTINA'!H135+'68.50.50 rest DAS+CPFA'!H135</f>
        <v>0</v>
      </c>
      <c r="I135" s="422">
        <f>'68.04-PERS.VARSTNICE'!I135+'68.02.05 CUMULAT AP+SF.NIC'!I135+'68.06 centralizat'!I135+'68.15.01-AJ SOC'!I135+'68.15.02-CANTINA'!I135+'68.50.50 rest DAS+CPFA'!I135</f>
        <v>432</v>
      </c>
      <c r="J135" s="422">
        <f>'68.04-PERS.VARSTNICE'!J135+'68.02.05 CUMULAT AP+SF.NIC'!J135+'68.06 centralizat'!J135+'68.15.01-AJ SOC'!J135+'68.15.02-CANTINA'!J135+'68.50.50 rest DAS+CPFA'!J135</f>
        <v>0</v>
      </c>
      <c r="K135" s="1010"/>
      <c r="L135" s="1010"/>
      <c r="M135" s="1013"/>
    </row>
    <row r="136" spans="1:15" s="4" customFormat="1" ht="12.75" customHeight="1" thickBot="1" x14ac:dyDescent="0.25">
      <c r="A136" s="689">
        <v>126</v>
      </c>
      <c r="B136" s="74" t="s">
        <v>213</v>
      </c>
      <c r="C136" s="142" t="s">
        <v>214</v>
      </c>
      <c r="D136" s="422">
        <f>'68.04-PERS.VARSTNICE'!D136+'68.02.05 CUMULAT AP+SF.NIC'!D136+'68.06 centralizat'!D136+'68.15.01-AJ SOC'!D136+'68.15.02-CANTINA'!D136+'68.50.50 rest DAS+CPFA'!D136</f>
        <v>451.1</v>
      </c>
      <c r="E136" s="422">
        <f>'68.04-PERS.VARSTNICE'!E136+'68.02.05 CUMULAT AP+SF.NIC'!E136+'68.06 centralizat'!E136+'68.15.01-AJ SOC'!E136+'68.15.02-CANTINA'!E136+'68.50.50 rest DAS+CPFA'!E136</f>
        <v>0</v>
      </c>
      <c r="F136" s="422">
        <f>'68.04-PERS.VARSTNICE'!F136+'68.02.05 CUMULAT AP+SF.NIC'!F136+'68.06 centralizat'!F136+'68.15.01-AJ SOC'!F136+'68.15.02-CANTINA'!F136+'68.50.50 rest DAS+CPFA'!F136</f>
        <v>451.1</v>
      </c>
      <c r="G136" s="422">
        <f>'68.04-PERS.VARSTNICE'!G136+'68.02.05 CUMULAT AP+SF.NIC'!G136+'68.06 centralizat'!G136+'68.15.01-AJ SOC'!G136+'68.15.02-CANTINA'!G136+'68.50.50 rest DAS+CPFA'!G136</f>
        <v>0</v>
      </c>
      <c r="H136" s="422">
        <f>'68.04-PERS.VARSTNICE'!H136+'68.02.05 CUMULAT AP+SF.NIC'!H136+'68.06 centralizat'!H136+'68.15.01-AJ SOC'!H136+'68.15.02-CANTINA'!H136+'68.50.50 rest DAS+CPFA'!H136</f>
        <v>378</v>
      </c>
      <c r="I136" s="422">
        <f>'68.04-PERS.VARSTNICE'!I136+'68.02.05 CUMULAT AP+SF.NIC'!I136+'68.06 centralizat'!I136+'68.15.01-AJ SOC'!I136+'68.15.02-CANTINA'!I136+'68.50.50 rest DAS+CPFA'!I136</f>
        <v>73.099999999999994</v>
      </c>
      <c r="J136" s="422">
        <f>'68.04-PERS.VARSTNICE'!J136+'68.02.05 CUMULAT AP+SF.NIC'!J136+'68.06 centralizat'!J136+'68.15.01-AJ SOC'!J136+'68.15.02-CANTINA'!J136+'68.50.50 rest DAS+CPFA'!J136</f>
        <v>0</v>
      </c>
      <c r="K136" s="118"/>
      <c r="L136" s="103"/>
      <c r="M136" s="781"/>
    </row>
    <row r="137" spans="1:15" s="4" customFormat="1" ht="12.75" hidden="1" customHeight="1" thickBot="1" x14ac:dyDescent="0.25">
      <c r="A137" s="820">
        <v>127</v>
      </c>
      <c r="B137" s="74" t="s">
        <v>215</v>
      </c>
      <c r="C137" s="142" t="s">
        <v>214</v>
      </c>
      <c r="D137" s="422">
        <f>'68.04-PERS.VARSTNICE'!D137+'68.02.05 CUMULAT AP+SF.NIC'!D137+'68.06 centralizat'!D137+'68.15.01-AJ SOC'!D137+'68.15.02-CANTINA'!D137+'68.50.50 rest DAS+CPFA'!D137</f>
        <v>0</v>
      </c>
      <c r="E137" s="422">
        <f>'68.04-PERS.VARSTNICE'!E137+'68.02.05 CUMULAT AP+SF.NIC'!E137+'68.06 centralizat'!E137+'68.15.01-AJ SOC'!E137+'68.15.02-CANTINA'!E137+'68.50.50 rest DAS+CPFA'!E137</f>
        <v>0</v>
      </c>
      <c r="F137" s="422">
        <f>'68.04-PERS.VARSTNICE'!F137+'68.02.05 CUMULAT AP+SF.NIC'!F137+'68.06 centralizat'!F137+'68.15.01-AJ SOC'!F137+'68.15.02-CANTINA'!F137+'68.50.50 rest DAS+CPFA'!F137</f>
        <v>0</v>
      </c>
      <c r="G137" s="422">
        <f>'68.04-PERS.VARSTNICE'!G137+'68.02.05 CUMULAT AP+SF.NIC'!G137+'68.06 centralizat'!G137+'68.15.01-AJ SOC'!G137+'68.15.02-CANTINA'!G137+'68.50.50 rest DAS+CPFA'!G137</f>
        <v>0</v>
      </c>
      <c r="H137" s="422">
        <f>'68.04-PERS.VARSTNICE'!H137+'68.02.05 CUMULAT AP+SF.NIC'!H137+'68.06 centralizat'!H137+'68.15.01-AJ SOC'!H137+'68.15.02-CANTINA'!H137+'68.50.50 rest DAS+CPFA'!H137</f>
        <v>0</v>
      </c>
      <c r="I137" s="422">
        <f>'68.04-PERS.VARSTNICE'!I137+'68.02.05 CUMULAT AP+SF.NIC'!I137+'68.06 centralizat'!I137+'68.15.01-AJ SOC'!I137+'68.15.02-CANTINA'!I137+'68.50.50 rest DAS+CPFA'!I137</f>
        <v>0</v>
      </c>
      <c r="J137" s="422">
        <f>'68.04-PERS.VARSTNICE'!J137+'68.02.05 CUMULAT AP+SF.NIC'!J137+'68.06 centralizat'!J137+'68.15.01-AJ SOC'!J137+'68.15.02-CANTINA'!J137+'68.50.50 rest DAS+CPFA'!J137</f>
        <v>0</v>
      </c>
      <c r="K137" s="118"/>
      <c r="L137" s="103"/>
      <c r="M137" s="781"/>
    </row>
    <row r="138" spans="1:15" s="4" customFormat="1" ht="12.75" customHeight="1" thickBot="1" x14ac:dyDescent="0.25">
      <c r="A138" s="689">
        <v>128</v>
      </c>
      <c r="B138" s="40" t="s">
        <v>216</v>
      </c>
      <c r="C138" s="142" t="s">
        <v>217</v>
      </c>
      <c r="D138" s="422">
        <f>'68.04-PERS.VARSTNICE'!D138+'68.02.05 CUMULAT AP+SF.NIC'!D138+'68.06 centralizat'!D138+'68.15.01-AJ SOC'!D138+'68.15.02-CANTINA'!D138+'68.50.50 rest DAS+CPFA'!D138</f>
        <v>52.2</v>
      </c>
      <c r="E138" s="422">
        <f>'68.04-PERS.VARSTNICE'!E138+'68.02.05 CUMULAT AP+SF.NIC'!E138+'68.06 centralizat'!E138+'68.15.01-AJ SOC'!E138+'68.15.02-CANTINA'!E138+'68.50.50 rest DAS+CPFA'!E138</f>
        <v>0</v>
      </c>
      <c r="F138" s="422">
        <f>'68.04-PERS.VARSTNICE'!F138+'68.02.05 CUMULAT AP+SF.NIC'!F138+'68.06 centralizat'!F138+'68.15.01-AJ SOC'!F138+'68.15.02-CANTINA'!F138+'68.50.50 rest DAS+CPFA'!F138</f>
        <v>52.2</v>
      </c>
      <c r="G138" s="422">
        <f>'68.04-PERS.VARSTNICE'!G138+'68.02.05 CUMULAT AP+SF.NIC'!G138+'68.06 centralizat'!G138+'68.15.01-AJ SOC'!G138+'68.15.02-CANTINA'!G138+'68.50.50 rest DAS+CPFA'!G138</f>
        <v>20</v>
      </c>
      <c r="H138" s="422">
        <f>'68.04-PERS.VARSTNICE'!H138+'68.02.05 CUMULAT AP+SF.NIC'!H138+'68.06 centralizat'!H138+'68.15.01-AJ SOC'!H138+'68.15.02-CANTINA'!H138+'68.50.50 rest DAS+CPFA'!H138</f>
        <v>0</v>
      </c>
      <c r="I138" s="422">
        <f>'68.04-PERS.VARSTNICE'!I138+'68.02.05 CUMULAT AP+SF.NIC'!I138+'68.06 centralizat'!I138+'68.15.01-AJ SOC'!I138+'68.15.02-CANTINA'!I138+'68.50.50 rest DAS+CPFA'!I138</f>
        <v>32.200000000000003</v>
      </c>
      <c r="J138" s="422">
        <f>'68.04-PERS.VARSTNICE'!J138+'68.02.05 CUMULAT AP+SF.NIC'!J138+'68.06 centralizat'!J138+'68.15.01-AJ SOC'!J138+'68.15.02-CANTINA'!J138+'68.50.50 rest DAS+CPFA'!J138</f>
        <v>0</v>
      </c>
      <c r="K138" s="118"/>
      <c r="L138" s="103"/>
      <c r="M138" s="781"/>
    </row>
    <row r="139" spans="1:15" s="4" customFormat="1" ht="13.5" customHeight="1" thickBot="1" x14ac:dyDescent="0.25">
      <c r="A139" s="905">
        <v>129</v>
      </c>
      <c r="B139" s="883" t="s">
        <v>218</v>
      </c>
      <c r="C139" s="695" t="s">
        <v>219</v>
      </c>
      <c r="D139" s="1014">
        <f>'68.04-PERS.VARSTNICE'!D139+'68.02.05 CUMULAT AP+SF.NIC'!D139+'68.06 centralizat'!D139+'68.15.01-AJ SOC'!D139+'68.15.02-CANTINA'!D139+'68.50.50 rest DAS+CPFA'!D139</f>
        <v>68.3</v>
      </c>
      <c r="E139" s="1014">
        <f>'68.04-PERS.VARSTNICE'!E139+'68.02.05 CUMULAT AP+SF.NIC'!E139+'68.06 centralizat'!E139+'68.15.01-AJ SOC'!E139+'68.15.02-CANTINA'!E139+'68.50.50 rest DAS+CPFA'!E139</f>
        <v>0</v>
      </c>
      <c r="F139" s="1014">
        <f>'68.04-PERS.VARSTNICE'!F139+'68.02.05 CUMULAT AP+SF.NIC'!F139+'68.06 centralizat'!F139+'68.15.01-AJ SOC'!F139+'68.15.02-CANTINA'!F139+'68.50.50 rest DAS+CPFA'!F139</f>
        <v>68.3</v>
      </c>
      <c r="G139" s="1014">
        <f>'68.04-PERS.VARSTNICE'!G139+'68.02.05 CUMULAT AP+SF.NIC'!G139+'68.06 centralizat'!G139+'68.15.01-AJ SOC'!G139+'68.15.02-CANTINA'!G139+'68.50.50 rest DAS+CPFA'!G139</f>
        <v>0</v>
      </c>
      <c r="H139" s="1014">
        <f>'68.04-PERS.VARSTNICE'!H139+'68.02.05 CUMULAT AP+SF.NIC'!H139+'68.06 centralizat'!H139+'68.15.01-AJ SOC'!H139+'68.15.02-CANTINA'!H139+'68.50.50 rest DAS+CPFA'!H139</f>
        <v>59</v>
      </c>
      <c r="I139" s="1014">
        <f>'68.04-PERS.VARSTNICE'!I139+'68.02.05 CUMULAT AP+SF.NIC'!I139+'68.06 centralizat'!I139+'68.15.01-AJ SOC'!I139+'68.15.02-CANTINA'!I139+'68.50.50 rest DAS+CPFA'!I139</f>
        <v>9.3000000000000007</v>
      </c>
      <c r="J139" s="1014">
        <f>'68.04-PERS.VARSTNICE'!J139+'68.02.05 CUMULAT AP+SF.NIC'!J139+'68.06 centralizat'!J139+'68.15.01-AJ SOC'!J139+'68.15.02-CANTINA'!J139+'68.50.50 rest DAS+CPFA'!J139</f>
        <v>0</v>
      </c>
      <c r="K139" s="906"/>
      <c r="L139" s="870"/>
      <c r="M139" s="871"/>
    </row>
    <row r="140" spans="1:15" ht="12.75" customHeight="1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385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56"/>
      <c r="K143" s="1132" t="s">
        <v>388</v>
      </c>
      <c r="L143" s="1132"/>
      <c r="M143" s="1132"/>
      <c r="N143" s="1132"/>
      <c r="O143" s="6"/>
    </row>
    <row r="144" spans="1:15" ht="12.75" customHeight="1" x14ac:dyDescent="0.2">
      <c r="J144" s="305"/>
      <c r="K144" s="152" t="s">
        <v>389</v>
      </c>
      <c r="L144" s="4"/>
      <c r="M144" s="4"/>
      <c r="N144" s="4"/>
    </row>
  </sheetData>
  <sheetProtection selectLockedCells="1" selectUnlockedCells="1"/>
  <mergeCells count="12">
    <mergeCell ref="G9:J9"/>
    <mergeCell ref="K9:M9"/>
    <mergeCell ref="K143:N143"/>
    <mergeCell ref="J1:L1"/>
    <mergeCell ref="B5:M5"/>
    <mergeCell ref="B6:M6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9374999999999999" bottom="0.11805555555555555" header="0.51180555555555551" footer="0.51180555555555551"/>
  <pageSetup paperSize="9" scale="91" firstPageNumber="0" fitToHeight="0" orientation="landscape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112D-2E14-406C-8356-A60DBDA4A391}">
  <sheetPr>
    <pageSetUpPr fitToPage="1"/>
  </sheetPr>
  <dimension ref="A1:O132"/>
  <sheetViews>
    <sheetView topLeftCell="A45" workbookViewId="0">
      <selection activeCell="C94" sqref="C94:F95"/>
    </sheetView>
  </sheetViews>
  <sheetFormatPr defaultRowHeight="12.75" x14ac:dyDescent="0.2"/>
  <cols>
    <col min="1" max="1" width="4.140625" style="1" customWidth="1"/>
    <col min="2" max="2" width="59.85546875" style="2" customWidth="1"/>
    <col min="3" max="3" width="8.42578125" style="1" customWidth="1"/>
    <col min="4" max="4" width="10.28515625" style="1" customWidth="1"/>
    <col min="5" max="5" width="9.85546875" style="1" hidden="1" customWidth="1"/>
    <col min="6" max="6" width="10.7109375" style="1" customWidth="1"/>
    <col min="7" max="7" width="7.140625" style="1" customWidth="1"/>
    <col min="8" max="9" width="7.5703125" style="1" customWidth="1"/>
    <col min="10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9" t="s">
        <v>289</v>
      </c>
      <c r="K1" s="1119"/>
      <c r="L1" s="1119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18" t="s">
        <v>332</v>
      </c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4"/>
    </row>
    <row r="5" spans="1:14" ht="12.75" customHeight="1" x14ac:dyDescent="0.2">
      <c r="B5" s="1119" t="s">
        <v>299</v>
      </c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4"/>
    </row>
    <row r="6" spans="1:14" x14ac:dyDescent="0.2">
      <c r="B6" s="1133" t="s">
        <v>300</v>
      </c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6"/>
    </row>
    <row r="7" spans="1:14" x14ac:dyDescent="0.2">
      <c r="B7" s="1176" t="s">
        <v>301</v>
      </c>
      <c r="C7" s="1176"/>
      <c r="D7" s="1176"/>
      <c r="E7" s="1176"/>
      <c r="F7" s="1176"/>
      <c r="G7" s="1176"/>
      <c r="H7" s="1176"/>
      <c r="I7" s="1176"/>
      <c r="J7" s="1176"/>
      <c r="K7" s="1176"/>
      <c r="L7" s="1176"/>
      <c r="M7" s="1176"/>
      <c r="N7" s="432"/>
    </row>
    <row r="8" spans="1:14" x14ac:dyDescent="0.2">
      <c r="B8" s="1177"/>
      <c r="C8" s="1177"/>
      <c r="D8" s="1177"/>
      <c r="E8" s="1177"/>
      <c r="F8" s="1177"/>
      <c r="G8" s="1177"/>
      <c r="H8" s="1177"/>
      <c r="I8" s="1177"/>
      <c r="J8" s="1177"/>
      <c r="K8" s="1177"/>
      <c r="L8" s="1177"/>
      <c r="M8" s="1177"/>
      <c r="N8" s="432"/>
    </row>
    <row r="9" spans="1:14" ht="13.5" thickBot="1" x14ac:dyDescent="0.25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 t="s">
        <v>302</v>
      </c>
      <c r="N9" s="432"/>
    </row>
    <row r="10" spans="1:14" s="4" customFormat="1" ht="12.75" customHeight="1" thickBot="1" x14ac:dyDescent="0.25">
      <c r="A10" s="1134" t="s">
        <v>6</v>
      </c>
      <c r="B10" s="1136" t="s">
        <v>7</v>
      </c>
      <c r="C10" s="1170" t="s">
        <v>8</v>
      </c>
      <c r="D10" s="1172" t="s">
        <v>379</v>
      </c>
      <c r="E10" s="1172"/>
      <c r="F10" s="1174" t="s">
        <v>380</v>
      </c>
      <c r="G10" s="1168" t="s">
        <v>12</v>
      </c>
      <c r="H10" s="1168"/>
      <c r="I10" s="1168"/>
      <c r="J10" s="1168"/>
      <c r="K10" s="1169" t="s">
        <v>13</v>
      </c>
      <c r="L10" s="1169"/>
      <c r="M10" s="1131"/>
    </row>
    <row r="11" spans="1:14" s="4" customFormat="1" ht="42.75" customHeight="1" thickBot="1" x14ac:dyDescent="0.25">
      <c r="A11" s="1135"/>
      <c r="B11" s="1137"/>
      <c r="C11" s="1171"/>
      <c r="D11" s="1173"/>
      <c r="E11" s="1173"/>
      <c r="F11" s="1175"/>
      <c r="G11" s="973" t="s">
        <v>14</v>
      </c>
      <c r="H11" s="974" t="s">
        <v>15</v>
      </c>
      <c r="I11" s="974" t="s">
        <v>16</v>
      </c>
      <c r="J11" s="975" t="s">
        <v>17</v>
      </c>
      <c r="K11" s="969">
        <v>2026</v>
      </c>
      <c r="L11" s="433">
        <v>2027</v>
      </c>
      <c r="M11" s="672">
        <v>2028</v>
      </c>
    </row>
    <row r="12" spans="1:14" s="4" customFormat="1" ht="27" customHeight="1" thickBot="1" x14ac:dyDescent="0.25">
      <c r="A12" s="673" t="s">
        <v>18</v>
      </c>
      <c r="B12" s="354" t="s">
        <v>19</v>
      </c>
      <c r="C12" s="434"/>
      <c r="D12" s="435">
        <f>SAMUI!D11+AMC!D11+CRM!D11</f>
        <v>0</v>
      </c>
      <c r="E12" s="435">
        <f>SAMUI!E11+AMC!E11+CRM!E11</f>
        <v>0</v>
      </c>
      <c r="F12" s="435">
        <f>SAMUI!F11+AMC!F11+CRM!F11</f>
        <v>12001</v>
      </c>
      <c r="G12" s="435">
        <f>SAMUI!G11+AMC!G11+CRM!G11</f>
        <v>3802</v>
      </c>
      <c r="H12" s="435">
        <f>SAMUI!H11+AMC!H11+CRM!H11</f>
        <v>4861</v>
      </c>
      <c r="I12" s="435">
        <f>SAMUI!I11+AMC!I11+CRM!I11</f>
        <v>3304</v>
      </c>
      <c r="J12" s="435">
        <f>SAMUI!J11+AMC!J11+CRM!J11</f>
        <v>34</v>
      </c>
      <c r="K12" s="435">
        <f>SAMUI!K11+AMC!K11+CRM!K11</f>
        <v>12374.405000000001</v>
      </c>
      <c r="L12" s="435">
        <f>SAMUI!L11+AMC!L11+CRM!L11</f>
        <v>12409.355</v>
      </c>
      <c r="M12" s="674">
        <f>SAMUI!M11+AMC!M11+CRM!M11</f>
        <v>12432.707999999999</v>
      </c>
    </row>
    <row r="13" spans="1:14" s="4" customFormat="1" ht="12.75" customHeight="1" thickBot="1" x14ac:dyDescent="0.25">
      <c r="A13" s="675">
        <f t="shared" ref="A13:A87" si="0">A12+1</f>
        <v>2</v>
      </c>
      <c r="B13" s="423" t="s">
        <v>20</v>
      </c>
      <c r="C13" s="436"/>
      <c r="D13" s="437">
        <f>SAMUI!D12+AMC!D12+CRM!D12</f>
        <v>0</v>
      </c>
      <c r="E13" s="437">
        <f>SAMUI!E12+AMC!E12+CRM!E12</f>
        <v>0</v>
      </c>
      <c r="F13" s="623">
        <f>SAMUI!F12+AMC!F12+CRM!F12</f>
        <v>12001</v>
      </c>
      <c r="G13" s="624">
        <f>SAMUI!G12+AMC!G12+CRM!G12</f>
        <v>3802</v>
      </c>
      <c r="H13" s="625">
        <f>SAMUI!H12+AMC!H12+CRM!H12</f>
        <v>4861</v>
      </c>
      <c r="I13" s="625">
        <f>SAMUI!I12+AMC!I12+CRM!I12</f>
        <v>3304</v>
      </c>
      <c r="J13" s="626">
        <f>SAMUI!J12+AMC!J12+CRM!J12</f>
        <v>34</v>
      </c>
      <c r="K13" s="624">
        <f>SAMUI!K12+AMC!K12+CRM!K12</f>
        <v>12374.405000000001</v>
      </c>
      <c r="L13" s="625">
        <f>SAMUI!L12+AMC!L12+CRM!L12</f>
        <v>12409.355</v>
      </c>
      <c r="M13" s="676">
        <f>SAMUI!M12+AMC!M12+CRM!M12</f>
        <v>12432.707999999999</v>
      </c>
    </row>
    <row r="14" spans="1:14" s="4" customFormat="1" ht="13.5" thickBot="1" x14ac:dyDescent="0.25">
      <c r="A14" s="677">
        <f t="shared" si="0"/>
        <v>3</v>
      </c>
      <c r="B14" s="438" t="s">
        <v>21</v>
      </c>
      <c r="C14" s="439" t="s">
        <v>22</v>
      </c>
      <c r="D14" s="440">
        <f>SAMUI!D13+AMC!D13+CRM!D13</f>
        <v>0</v>
      </c>
      <c r="E14" s="440">
        <f>SAMUI!E13+AMC!E13+CRM!E13</f>
        <v>0</v>
      </c>
      <c r="F14" s="440">
        <f>SAMUI!F13+AMC!F13+CRM!F13</f>
        <v>12001</v>
      </c>
      <c r="G14" s="441">
        <f>SAMUI!G13+AMC!G13+CRM!G13</f>
        <v>3802</v>
      </c>
      <c r="H14" s="33">
        <f>SAMUI!H13+AMC!H13+CRM!H13</f>
        <v>4861</v>
      </c>
      <c r="I14" s="33">
        <f>SAMUI!I13+AMC!I13+CRM!I13</f>
        <v>3304</v>
      </c>
      <c r="J14" s="442">
        <f>SAMUI!J13+AMC!J13+CRM!J13</f>
        <v>34</v>
      </c>
      <c r="K14" s="441">
        <f>SAMUI!K13+AMC!K13+CRM!K13</f>
        <v>12374.405000000001</v>
      </c>
      <c r="L14" s="33">
        <f>SAMUI!L13+AMC!L13+CRM!L13</f>
        <v>12409.355</v>
      </c>
      <c r="M14" s="678">
        <f>SAMUI!M13+AMC!M13+CRM!M13</f>
        <v>12432.707999999999</v>
      </c>
    </row>
    <row r="15" spans="1:14" s="4" customFormat="1" ht="13.5" thickBot="1" x14ac:dyDescent="0.25">
      <c r="A15" s="679">
        <f t="shared" si="0"/>
        <v>4</v>
      </c>
      <c r="B15" s="68" t="s">
        <v>23</v>
      </c>
      <c r="C15" s="443" t="s">
        <v>24</v>
      </c>
      <c r="D15" s="444">
        <f>SAMUI!D14+AMC!D14+CRM!D14</f>
        <v>0</v>
      </c>
      <c r="E15" s="444">
        <f>SAMUI!E14+AMC!E14+CRM!E14</f>
        <v>0</v>
      </c>
      <c r="F15" s="444">
        <f>SAMUI!F14+AMC!F14+CRM!F14</f>
        <v>11650</v>
      </c>
      <c r="G15" s="445">
        <f>SAMUI!G14+AMC!G14+CRM!G14</f>
        <v>3508</v>
      </c>
      <c r="H15" s="446">
        <f>SAMUI!H14+AMC!H14+CRM!H14</f>
        <v>4804</v>
      </c>
      <c r="I15" s="446">
        <f>SAMUI!I14+AMC!I14+CRM!I14</f>
        <v>3304</v>
      </c>
      <c r="J15" s="447">
        <f>SAMUI!J14+AMC!J14+CRM!J14</f>
        <v>34</v>
      </c>
      <c r="K15" s="445">
        <f>SAMUI!K14+AMC!K14+CRM!K14</f>
        <v>12018.140000000001</v>
      </c>
      <c r="L15" s="446">
        <f>SAMUI!L14+AMC!L14+CRM!L14</f>
        <v>12053.09</v>
      </c>
      <c r="M15" s="680">
        <f>SAMUI!M14+AMC!M14+CRM!M14</f>
        <v>12076.39</v>
      </c>
    </row>
    <row r="16" spans="1:14" s="4" customFormat="1" ht="13.5" thickBot="1" x14ac:dyDescent="0.25">
      <c r="A16" s="677">
        <f t="shared" si="0"/>
        <v>5</v>
      </c>
      <c r="B16" s="55" t="s">
        <v>25</v>
      </c>
      <c r="C16" s="188" t="s">
        <v>26</v>
      </c>
      <c r="D16" s="448">
        <f>SAMUI!D15+AMC!D15+CRM!D15</f>
        <v>0</v>
      </c>
      <c r="E16" s="448">
        <f>SAMUI!E15+AMC!E15+CRM!E15</f>
        <v>0</v>
      </c>
      <c r="F16" s="448">
        <f>SAMUI!F15+AMC!F15+CRM!F15</f>
        <v>11256</v>
      </c>
      <c r="G16" s="173">
        <f>SAMUI!G15+AMC!G15+CRM!G15</f>
        <v>3430</v>
      </c>
      <c r="H16" s="163">
        <f>SAMUI!H15+AMC!H15+CRM!H15</f>
        <v>4606</v>
      </c>
      <c r="I16" s="163">
        <f>SAMUI!I15+AMC!I15+CRM!I15</f>
        <v>3186</v>
      </c>
      <c r="J16" s="449">
        <f>SAMUI!J15+AMC!J15+CRM!J15</f>
        <v>34</v>
      </c>
      <c r="K16" s="173">
        <f>SAMUI!K15+AMC!K15+CRM!K15</f>
        <v>0</v>
      </c>
      <c r="L16" s="163">
        <f>SAMUI!L15+AMC!L15+CRM!L15</f>
        <v>0</v>
      </c>
      <c r="M16" s="681">
        <f>SAMUI!M15+AMC!M15+CRM!M15</f>
        <v>0</v>
      </c>
    </row>
    <row r="17" spans="1:13" s="4" customFormat="1" ht="13.5" thickBot="1" x14ac:dyDescent="0.25">
      <c r="A17" s="679">
        <f t="shared" si="0"/>
        <v>6</v>
      </c>
      <c r="B17" s="40" t="s">
        <v>303</v>
      </c>
      <c r="C17" s="190" t="s">
        <v>28</v>
      </c>
      <c r="D17" s="450">
        <f>SAMUI!D16+AMC!D16+CRM!D16+1</f>
        <v>1</v>
      </c>
      <c r="E17" s="450">
        <f>SAMUI!E16+AMC!E16+CRM!E16</f>
        <v>0</v>
      </c>
      <c r="F17" s="450">
        <f>SAMUI!F16+AMC!F16+CRM!F16</f>
        <v>9320</v>
      </c>
      <c r="G17" s="172">
        <f>SAMUI!G16+AMC!G16+CRM!G16</f>
        <v>2825</v>
      </c>
      <c r="H17" s="165">
        <f>SAMUI!H16+AMC!H16+CRM!H16</f>
        <v>3831</v>
      </c>
      <c r="I17" s="165">
        <f>SAMUI!I16+AMC!I16+CRM!I16</f>
        <v>2664</v>
      </c>
      <c r="J17" s="451">
        <f>SAMUI!J16+AMC!J16+CRM!J16</f>
        <v>0</v>
      </c>
      <c r="K17" s="172">
        <f>SAMUI!K16+AMC!K16+CRM!K16</f>
        <v>0</v>
      </c>
      <c r="L17" s="165">
        <f>SAMUI!L16+AMC!L16+CRM!L16</f>
        <v>0</v>
      </c>
      <c r="M17" s="682">
        <f>SAMUI!M16+AMC!M16+CRM!M16</f>
        <v>0</v>
      </c>
    </row>
    <row r="18" spans="1:13" s="4" customFormat="1" ht="13.5" thickBot="1" x14ac:dyDescent="0.25">
      <c r="A18" s="677">
        <f t="shared" si="0"/>
        <v>7</v>
      </c>
      <c r="B18" s="40" t="s">
        <v>304</v>
      </c>
      <c r="C18" s="190" t="s">
        <v>30</v>
      </c>
      <c r="D18" s="450">
        <f>SAMUI!D17+AMC!D17+CRM!D17</f>
        <v>0</v>
      </c>
      <c r="E18" s="450">
        <f>SAMUI!E17+AMC!E17+CRM!E17</f>
        <v>0</v>
      </c>
      <c r="F18" s="450">
        <f>SAMUI!F17+AMC!F17+CRM!F17</f>
        <v>1040</v>
      </c>
      <c r="G18" s="172">
        <f>SAMUI!G17+AMC!G17+CRM!G17</f>
        <v>322</v>
      </c>
      <c r="H18" s="165">
        <f>SAMUI!H17+AMC!H17+CRM!H17</f>
        <v>451</v>
      </c>
      <c r="I18" s="165">
        <f>SAMUI!I17+AMC!I17+CRM!I17</f>
        <v>267</v>
      </c>
      <c r="J18" s="451">
        <f>SAMUI!J17+AMC!J17+CRM!J17</f>
        <v>0</v>
      </c>
      <c r="K18" s="172">
        <f>SAMUI!K17+AMC!K17+CRM!K17</f>
        <v>0</v>
      </c>
      <c r="L18" s="165">
        <f>SAMUI!L17+AMC!L17+CRM!L17</f>
        <v>0</v>
      </c>
      <c r="M18" s="682">
        <f>SAMUI!M17+AMC!M17+CRM!M17</f>
        <v>0</v>
      </c>
    </row>
    <row r="19" spans="1:13" s="4" customFormat="1" x14ac:dyDescent="0.2">
      <c r="A19" s="679">
        <f t="shared" si="0"/>
        <v>8</v>
      </c>
      <c r="B19" s="40" t="s">
        <v>31</v>
      </c>
      <c r="C19" s="190" t="s">
        <v>32</v>
      </c>
      <c r="D19" s="450">
        <f>SAMUI!D18+AMC!D18+CRM!D18</f>
        <v>0</v>
      </c>
      <c r="E19" s="450">
        <f>SAMUI!E18+AMC!E18+CRM!E18</f>
        <v>0</v>
      </c>
      <c r="F19" s="450">
        <f>SAMUI!F18+AMC!F18+CRM!F18</f>
        <v>16</v>
      </c>
      <c r="G19" s="172">
        <f>SAMUI!G18+AMC!G18+CRM!G18</f>
        <v>5</v>
      </c>
      <c r="H19" s="165">
        <f>SAMUI!H18+AMC!H18+CRM!H18</f>
        <v>5</v>
      </c>
      <c r="I19" s="165">
        <f>SAMUI!I18+AMC!I18+CRM!I18</f>
        <v>6</v>
      </c>
      <c r="J19" s="451">
        <f>SAMUI!J18+AMC!J18+CRM!J18</f>
        <v>0</v>
      </c>
      <c r="K19" s="172">
        <f>SAMUI!K18+AMC!K18+CRM!K18</f>
        <v>0</v>
      </c>
      <c r="L19" s="165">
        <f>SAMUI!L18+AMC!L18+CRM!L18</f>
        <v>0</v>
      </c>
      <c r="M19" s="682">
        <f>SAMUI!M18+AMC!M18+CRM!M18</f>
        <v>0</v>
      </c>
    </row>
    <row r="20" spans="1:13" s="4" customFormat="1" ht="13.5" hidden="1" thickBot="1" x14ac:dyDescent="0.25">
      <c r="A20" s="677">
        <f t="shared" si="0"/>
        <v>9</v>
      </c>
      <c r="B20" s="320" t="s">
        <v>305</v>
      </c>
      <c r="C20" s="7" t="s">
        <v>34</v>
      </c>
      <c r="D20" s="450">
        <f>SAMUI!D19+AMC!D19+CRM!D19</f>
        <v>0</v>
      </c>
      <c r="E20" s="450">
        <f>SAMUI!E19+AMC!E19+CRM!E19</f>
        <v>0</v>
      </c>
      <c r="F20" s="450">
        <f>SAMUI!F19+AMC!F19+CRM!F19</f>
        <v>0</v>
      </c>
      <c r="G20" s="172">
        <f>SAMUI!G19+AMC!G19+CRM!G19</f>
        <v>0</v>
      </c>
      <c r="H20" s="165">
        <f>SAMUI!H19+AMC!H19+CRM!H19</f>
        <v>0</v>
      </c>
      <c r="I20" s="165">
        <f>SAMUI!I19+AMC!I19+CRM!I19</f>
        <v>0</v>
      </c>
      <c r="J20" s="451">
        <f>SAMUI!J19+AMC!J19+CRM!J19</f>
        <v>0</v>
      </c>
      <c r="K20" s="172">
        <f>SAMUI!K19+AMC!K19+CRM!K19</f>
        <v>0</v>
      </c>
      <c r="L20" s="165">
        <f>SAMUI!L19+AMC!L19+CRM!L19</f>
        <v>0</v>
      </c>
      <c r="M20" s="682">
        <f>SAMUI!M19+AMC!M19+CRM!M19</f>
        <v>0</v>
      </c>
    </row>
    <row r="21" spans="1:13" s="4" customFormat="1" hidden="1" x14ac:dyDescent="0.2">
      <c r="A21" s="679">
        <f t="shared" si="0"/>
        <v>10</v>
      </c>
      <c r="B21" s="40" t="s">
        <v>35</v>
      </c>
      <c r="C21" s="190" t="s">
        <v>36</v>
      </c>
      <c r="D21" s="450">
        <f>SAMUI!D20+AMC!D20+CRM!D20</f>
        <v>0</v>
      </c>
      <c r="E21" s="450">
        <f>SAMUI!E20+AMC!E20+CRM!E20</f>
        <v>0</v>
      </c>
      <c r="F21" s="450">
        <f>SAMUI!F20+AMC!F20+CRM!F20</f>
        <v>0</v>
      </c>
      <c r="G21" s="172">
        <f>SAMUI!G20+AMC!G20+CRM!G20</f>
        <v>0</v>
      </c>
      <c r="H21" s="165">
        <f>SAMUI!H20+AMC!H20+CRM!H20</f>
        <v>0</v>
      </c>
      <c r="I21" s="165">
        <f>SAMUI!I20+AMC!I20+CRM!I20</f>
        <v>0</v>
      </c>
      <c r="J21" s="451">
        <f>SAMUI!J20+AMC!J20+CRM!J20</f>
        <v>0</v>
      </c>
      <c r="K21" s="172">
        <f>SAMUI!K20+AMC!K20+CRM!K20</f>
        <v>0</v>
      </c>
      <c r="L21" s="165">
        <f>SAMUI!L20+AMC!L20+CRM!L20</f>
        <v>0</v>
      </c>
      <c r="M21" s="682">
        <f>SAMUI!M20+AMC!M20+CRM!M20</f>
        <v>0</v>
      </c>
    </row>
    <row r="22" spans="1:13" s="4" customFormat="1" ht="13.5" hidden="1" thickBot="1" x14ac:dyDescent="0.25">
      <c r="A22" s="677">
        <f t="shared" si="0"/>
        <v>11</v>
      </c>
      <c r="B22" s="40" t="s">
        <v>306</v>
      </c>
      <c r="C22" s="190" t="s">
        <v>307</v>
      </c>
      <c r="D22" s="450">
        <f>SAMUI!D21+AMC!D21+CRM!D21</f>
        <v>0</v>
      </c>
      <c r="E22" s="450">
        <f>SAMUI!E21+AMC!E21+CRM!E21</f>
        <v>0</v>
      </c>
      <c r="F22" s="450">
        <f>SAMUI!F21+AMC!F21+CRM!F21</f>
        <v>0</v>
      </c>
      <c r="G22" s="172">
        <f>SAMUI!G21+AMC!G21+CRM!G21</f>
        <v>0</v>
      </c>
      <c r="H22" s="165">
        <f>SAMUI!H21+AMC!H21+CRM!H21</f>
        <v>0</v>
      </c>
      <c r="I22" s="165">
        <f>SAMUI!I21+AMC!I21+CRM!I21</f>
        <v>0</v>
      </c>
      <c r="J22" s="451">
        <f>SAMUI!J21+AMC!J21+CRM!J21</f>
        <v>0</v>
      </c>
      <c r="K22" s="172">
        <f>SAMUI!K21+AMC!K21+CRM!K21</f>
        <v>0</v>
      </c>
      <c r="L22" s="165">
        <f>SAMUI!L21+AMC!L21+CRM!L21</f>
        <v>0</v>
      </c>
      <c r="M22" s="682">
        <f>SAMUI!M21+AMC!M21+CRM!M21</f>
        <v>0</v>
      </c>
    </row>
    <row r="23" spans="1:13" s="4" customFormat="1" ht="13.5" thickBot="1" x14ac:dyDescent="0.25">
      <c r="A23" s="679">
        <f t="shared" si="0"/>
        <v>12</v>
      </c>
      <c r="B23" s="40" t="s">
        <v>285</v>
      </c>
      <c r="C23" s="190" t="s">
        <v>38</v>
      </c>
      <c r="D23" s="450">
        <f>SAMUI!D22+AMC!D22+CRM!D22</f>
        <v>0</v>
      </c>
      <c r="E23" s="450">
        <f>SAMUI!E22+AMC!E22+CRM!E22</f>
        <v>0</v>
      </c>
      <c r="F23" s="450">
        <f>SAMUI!F22+AMC!F22+CRM!F22</f>
        <v>370</v>
      </c>
      <c r="G23" s="172">
        <f>SAMUI!G22+AMC!G22+CRM!G22</f>
        <v>126</v>
      </c>
      <c r="H23" s="165">
        <f>SAMUI!H22+AMC!H22+CRM!H22</f>
        <v>157</v>
      </c>
      <c r="I23" s="165">
        <f>SAMUI!I22+AMC!I22+CRM!I22</f>
        <v>87</v>
      </c>
      <c r="J23" s="451">
        <f>SAMUI!J22+AMC!J22+CRM!J22</f>
        <v>0</v>
      </c>
      <c r="K23" s="172">
        <f>SAMUI!K22+AMC!K22+CRM!K22</f>
        <v>0</v>
      </c>
      <c r="L23" s="165">
        <f>SAMUI!L22+AMC!L22+CRM!L22</f>
        <v>0</v>
      </c>
      <c r="M23" s="682">
        <f>SAMUI!M22+AMC!M22+CRM!M22</f>
        <v>0</v>
      </c>
    </row>
    <row r="24" spans="1:13" s="4" customFormat="1" ht="13.5" thickBot="1" x14ac:dyDescent="0.25">
      <c r="A24" s="677">
        <f t="shared" si="0"/>
        <v>13</v>
      </c>
      <c r="B24" s="183" t="s">
        <v>308</v>
      </c>
      <c r="C24" s="452" t="s">
        <v>40</v>
      </c>
      <c r="D24" s="450">
        <f>SAMUI!D23+AMC!D23+CRM!D23</f>
        <v>0</v>
      </c>
      <c r="E24" s="450">
        <f>SAMUI!E23+AMC!E23+CRM!E23</f>
        <v>0</v>
      </c>
      <c r="F24" s="450">
        <f>SAMUI!F23+AMC!F23+CRM!F23</f>
        <v>510</v>
      </c>
      <c r="G24" s="172">
        <f>SAMUI!G23+AMC!G23+CRM!G23</f>
        <v>152</v>
      </c>
      <c r="H24" s="165">
        <f>SAMUI!H23+AMC!H23+CRM!H23</f>
        <v>162</v>
      </c>
      <c r="I24" s="165">
        <f>SAMUI!I23+AMC!I23+CRM!I23</f>
        <v>162</v>
      </c>
      <c r="J24" s="451">
        <f>SAMUI!J23+AMC!J23+CRM!J23</f>
        <v>34</v>
      </c>
      <c r="K24" s="172">
        <f>SAMUI!K23+AMC!K23+CRM!K23</f>
        <v>0</v>
      </c>
      <c r="L24" s="165">
        <f>SAMUI!L23+AMC!L23+CRM!L23</f>
        <v>0</v>
      </c>
      <c r="M24" s="682">
        <f>SAMUI!M23+AMC!M23+CRM!M23</f>
        <v>0</v>
      </c>
    </row>
    <row r="25" spans="1:13" s="4" customFormat="1" ht="13.5" thickBot="1" x14ac:dyDescent="0.25">
      <c r="A25" s="679">
        <f t="shared" si="0"/>
        <v>14</v>
      </c>
      <c r="B25" s="40" t="s">
        <v>41</v>
      </c>
      <c r="C25" s="189" t="s">
        <v>42</v>
      </c>
      <c r="D25" s="448">
        <f>SAMUI!D24+AMC!D24+CRM!D24</f>
        <v>0</v>
      </c>
      <c r="E25" s="448">
        <f>SAMUI!E24+AMC!E24+CRM!E24</f>
        <v>0</v>
      </c>
      <c r="F25" s="448">
        <f>SAMUI!F24+AMC!F24+CRM!F24</f>
        <v>94</v>
      </c>
      <c r="G25" s="173">
        <f>SAMUI!G24+AMC!G24+CRM!G24</f>
        <v>0</v>
      </c>
      <c r="H25" s="163">
        <f>SAMUI!H24+AMC!H24+CRM!H24</f>
        <v>94</v>
      </c>
      <c r="I25" s="163">
        <f>SAMUI!I24+AMC!I24+CRM!I24</f>
        <v>0</v>
      </c>
      <c r="J25" s="449">
        <f>SAMUI!J24+AMC!J24+CRM!J24</f>
        <v>0</v>
      </c>
      <c r="K25" s="173">
        <f>SAMUI!K24+AMC!K24+CRM!K24</f>
        <v>0</v>
      </c>
      <c r="L25" s="163">
        <f>SAMUI!L24+AMC!L24+CRM!L24</f>
        <v>0</v>
      </c>
      <c r="M25" s="681">
        <f>SAMUI!M24+AMC!M24+CRM!M24</f>
        <v>0</v>
      </c>
    </row>
    <row r="26" spans="1:13" s="4" customFormat="1" ht="13.5" thickBot="1" x14ac:dyDescent="0.25">
      <c r="A26" s="677">
        <f t="shared" si="0"/>
        <v>15</v>
      </c>
      <c r="B26" s="40" t="s">
        <v>43</v>
      </c>
      <c r="C26" s="190" t="s">
        <v>44</v>
      </c>
      <c r="D26" s="450">
        <f>SAMUI!D25+AMC!D25+CRM!D25</f>
        <v>0</v>
      </c>
      <c r="E26" s="450">
        <f>SAMUI!E25+AMC!E25+CRM!E25</f>
        <v>0</v>
      </c>
      <c r="F26" s="450">
        <f>SAMUI!F25+AMC!F25+CRM!F25</f>
        <v>94</v>
      </c>
      <c r="G26" s="172">
        <f>SAMUI!G25+AMC!G25+CRM!G25</f>
        <v>0</v>
      </c>
      <c r="H26" s="165">
        <f>SAMUI!H25+AMC!H25+CRM!H25</f>
        <v>94</v>
      </c>
      <c r="I26" s="165">
        <f>SAMUI!I25+AMC!I25+CRM!I25</f>
        <v>0</v>
      </c>
      <c r="J26" s="451">
        <f>SAMUI!J25+AMC!J25+CRM!J25</f>
        <v>0</v>
      </c>
      <c r="K26" s="172">
        <f>SAMUI!K25+AMC!K25+CRM!K25</f>
        <v>0</v>
      </c>
      <c r="L26" s="165">
        <f>SAMUI!L25+AMC!L25+CRM!L25</f>
        <v>0</v>
      </c>
      <c r="M26" s="682">
        <f>SAMUI!M25+AMC!M25+CRM!M25</f>
        <v>0</v>
      </c>
    </row>
    <row r="27" spans="1:13" s="4" customFormat="1" ht="13.5" thickBot="1" x14ac:dyDescent="0.25">
      <c r="A27" s="679">
        <f t="shared" si="0"/>
        <v>16</v>
      </c>
      <c r="B27" s="55" t="s">
        <v>45</v>
      </c>
      <c r="C27" s="114" t="s">
        <v>46</v>
      </c>
      <c r="D27" s="448">
        <f>SAMUI!D26+AMC!D26+CRM!D26</f>
        <v>0</v>
      </c>
      <c r="E27" s="448">
        <f>SAMUI!E26+AMC!E26+CRM!E26</f>
        <v>0</v>
      </c>
      <c r="F27" s="448">
        <f>SAMUI!F26+AMC!F26+CRM!F26</f>
        <v>300</v>
      </c>
      <c r="G27" s="173">
        <f>SAMUI!G26+AMC!G26+CRM!G26</f>
        <v>78</v>
      </c>
      <c r="H27" s="163">
        <f>SAMUI!H26+AMC!H26+CRM!H26</f>
        <v>104</v>
      </c>
      <c r="I27" s="163">
        <f>SAMUI!I26+AMC!I26+CRM!I26</f>
        <v>118</v>
      </c>
      <c r="J27" s="449">
        <f>SAMUI!J26+AMC!J26+CRM!J26</f>
        <v>0</v>
      </c>
      <c r="K27" s="173">
        <f>SAMUI!K26+AMC!K26+CRM!K26</f>
        <v>0</v>
      </c>
      <c r="L27" s="163">
        <f>SAMUI!L26+AMC!L26+CRM!L26</f>
        <v>0</v>
      </c>
      <c r="M27" s="681">
        <f>SAMUI!M26+AMC!M26+CRM!M26</f>
        <v>0</v>
      </c>
    </row>
    <row r="28" spans="1:13" s="4" customFormat="1" ht="13.5" thickBot="1" x14ac:dyDescent="0.25">
      <c r="A28" s="677">
        <f t="shared" si="0"/>
        <v>17</v>
      </c>
      <c r="B28" s="62" t="s">
        <v>286</v>
      </c>
      <c r="C28" s="453" t="s">
        <v>58</v>
      </c>
      <c r="D28" s="454">
        <f>SAMUI!D27+AMC!D27+CRM!D27</f>
        <v>0</v>
      </c>
      <c r="E28" s="454">
        <f>SAMUI!E27+AMC!E27+CRM!E27</f>
        <v>0</v>
      </c>
      <c r="F28" s="454">
        <f>SAMUI!F27+AMC!F27+CRM!F27</f>
        <v>300</v>
      </c>
      <c r="G28" s="455">
        <f>SAMUI!G27+AMC!G27+CRM!G27</f>
        <v>78</v>
      </c>
      <c r="H28" s="456">
        <f>SAMUI!H27+AMC!H27+CRM!H27</f>
        <v>104</v>
      </c>
      <c r="I28" s="456">
        <f>SAMUI!I27+AMC!I27+CRM!I27</f>
        <v>118</v>
      </c>
      <c r="J28" s="457">
        <f>SAMUI!J27+AMC!J27+CRM!J27</f>
        <v>0</v>
      </c>
      <c r="K28" s="455">
        <f>SAMUI!K27+AMC!K27+CRM!K27</f>
        <v>0</v>
      </c>
      <c r="L28" s="456">
        <f>SAMUI!L27+AMC!L27+CRM!L27</f>
        <v>0</v>
      </c>
      <c r="M28" s="683">
        <f>SAMUI!M27+AMC!M27+CRM!M27</f>
        <v>0</v>
      </c>
    </row>
    <row r="29" spans="1:13" s="4" customFormat="1" ht="26.25" thickBot="1" x14ac:dyDescent="0.25">
      <c r="A29" s="679">
        <f t="shared" si="0"/>
        <v>18</v>
      </c>
      <c r="B29" s="67" t="s">
        <v>61</v>
      </c>
      <c r="C29" s="458">
        <v>20</v>
      </c>
      <c r="D29" s="440">
        <f>SAMUI!D28+AMC!D28+CRM!D28</f>
        <v>0</v>
      </c>
      <c r="E29" s="440">
        <f>SAMUI!E28+AMC!E28+CRM!E28</f>
        <v>0</v>
      </c>
      <c r="F29" s="440">
        <f>SAMUI!F28+AMC!F28+CRM!F28</f>
        <v>351</v>
      </c>
      <c r="G29" s="441">
        <f>SAMUI!G28+AMC!G28+CRM!G28</f>
        <v>294</v>
      </c>
      <c r="H29" s="33">
        <f>SAMUI!H28+AMC!H28+CRM!H28</f>
        <v>57</v>
      </c>
      <c r="I29" s="33">
        <f>SAMUI!I28+AMC!I28+CRM!I28</f>
        <v>0</v>
      </c>
      <c r="J29" s="442">
        <f>SAMUI!J28+AMC!J28+CRM!J28</f>
        <v>0</v>
      </c>
      <c r="K29" s="441">
        <f>SAMUI!K28+AMC!K28+CRM!K28</f>
        <v>356.26499999999999</v>
      </c>
      <c r="L29" s="33">
        <f>SAMUI!L28+AMC!L28+CRM!L28</f>
        <v>356.26499999999999</v>
      </c>
      <c r="M29" s="678">
        <f>SAMUI!M28+AMC!M28+CRM!M28</f>
        <v>357.31799999999998</v>
      </c>
    </row>
    <row r="30" spans="1:13" s="4" customFormat="1" ht="12.75" hidden="1" customHeight="1" thickBot="1" x14ac:dyDescent="0.25">
      <c r="A30" s="677">
        <f t="shared" si="0"/>
        <v>19</v>
      </c>
      <c r="B30" s="68" t="s">
        <v>62</v>
      </c>
      <c r="C30" s="96" t="s">
        <v>63</v>
      </c>
      <c r="D30" s="459">
        <f>SAMUI!D29+AMC!D29+CRM!D29</f>
        <v>0</v>
      </c>
      <c r="E30" s="459">
        <f>SAMUI!E29+AMC!E29+CRM!E29</f>
        <v>0</v>
      </c>
      <c r="F30" s="459">
        <f>SAMUI!F29+AMC!F29+CRM!F29</f>
        <v>0</v>
      </c>
      <c r="G30" s="460">
        <f>SAMUI!G29+AMC!G29+CRM!G29</f>
        <v>0</v>
      </c>
      <c r="H30" s="461">
        <f>SAMUI!H29+AMC!H29+CRM!H29</f>
        <v>0</v>
      </c>
      <c r="I30" s="461">
        <f>SAMUI!I29+AMC!I29+CRM!I29</f>
        <v>0</v>
      </c>
      <c r="J30" s="462">
        <f>SAMUI!J29+AMC!J29+CRM!J29</f>
        <v>0</v>
      </c>
      <c r="K30" s="460">
        <f>SAMUI!K29+AMC!K29+CRM!K29</f>
        <v>0</v>
      </c>
      <c r="L30" s="461">
        <f>SAMUI!L29+AMC!L29+CRM!L29</f>
        <v>0</v>
      </c>
      <c r="M30" s="684">
        <f>SAMUI!M29+AMC!M29+CRM!M29</f>
        <v>0</v>
      </c>
    </row>
    <row r="31" spans="1:13" s="4" customFormat="1" ht="12.75" hidden="1" customHeight="1" x14ac:dyDescent="0.2">
      <c r="A31" s="679">
        <f t="shared" si="0"/>
        <v>20</v>
      </c>
      <c r="B31" s="59" t="s">
        <v>64</v>
      </c>
      <c r="C31" s="117" t="s">
        <v>65</v>
      </c>
      <c r="D31" s="448">
        <f>SAMUI!D30+AMC!D30+CRM!D30</f>
        <v>0</v>
      </c>
      <c r="E31" s="448">
        <f>SAMUI!E30+AMC!E30+CRM!E30</f>
        <v>0</v>
      </c>
      <c r="F31" s="448">
        <f>SAMUI!F30+AMC!F30+CRM!F30</f>
        <v>0</v>
      </c>
      <c r="G31" s="173">
        <f>SAMUI!G30+AMC!G30+CRM!G30</f>
        <v>0</v>
      </c>
      <c r="H31" s="163">
        <f>SAMUI!H30+AMC!H30+CRM!H30</f>
        <v>0</v>
      </c>
      <c r="I31" s="163">
        <f>SAMUI!I30+AMC!I30+CRM!I30</f>
        <v>0</v>
      </c>
      <c r="J31" s="449">
        <f>SAMUI!J30+AMC!J30+CRM!J30</f>
        <v>0</v>
      </c>
      <c r="K31" s="173">
        <f>SAMUI!K30+AMC!K30+CRM!K30</f>
        <v>0</v>
      </c>
      <c r="L31" s="163">
        <f>SAMUI!L30+AMC!L30+CRM!L30</f>
        <v>0</v>
      </c>
      <c r="M31" s="681">
        <f>SAMUI!M30+AMC!M30+CRM!M30</f>
        <v>0</v>
      </c>
    </row>
    <row r="32" spans="1:13" s="4" customFormat="1" ht="12.75" hidden="1" customHeight="1" x14ac:dyDescent="0.2">
      <c r="A32" s="677">
        <f t="shared" si="0"/>
        <v>21</v>
      </c>
      <c r="B32" s="59" t="s">
        <v>68</v>
      </c>
      <c r="C32" s="117" t="s">
        <v>69</v>
      </c>
      <c r="D32" s="448">
        <f>SAMUI!D31+AMC!D31+CRM!D31</f>
        <v>0</v>
      </c>
      <c r="E32" s="448">
        <f>SAMUI!E31+AMC!E31+CRM!E31</f>
        <v>0</v>
      </c>
      <c r="F32" s="448">
        <f>SAMUI!F31+AMC!F31+CRM!F31</f>
        <v>0</v>
      </c>
      <c r="G32" s="173">
        <f>SAMUI!G31+AMC!G31+CRM!G31</f>
        <v>0</v>
      </c>
      <c r="H32" s="163">
        <f>SAMUI!H31+AMC!H31+CRM!H31</f>
        <v>0</v>
      </c>
      <c r="I32" s="163">
        <f>SAMUI!I31+AMC!I31+CRM!I31</f>
        <v>0</v>
      </c>
      <c r="J32" s="449">
        <f>SAMUI!J31+AMC!J31+CRM!J31</f>
        <v>0</v>
      </c>
      <c r="K32" s="173">
        <f>SAMUI!K31+AMC!K31+CRM!K31</f>
        <v>0</v>
      </c>
      <c r="L32" s="163">
        <f>SAMUI!L31+AMC!L31+CRM!L31</f>
        <v>0</v>
      </c>
      <c r="M32" s="681">
        <f>SAMUI!M31+AMC!M31+CRM!M31</f>
        <v>0</v>
      </c>
    </row>
    <row r="33" spans="1:13" s="4" customFormat="1" ht="12.75" hidden="1" customHeight="1" thickBot="1" x14ac:dyDescent="0.25">
      <c r="A33" s="679">
        <f t="shared" si="0"/>
        <v>22</v>
      </c>
      <c r="B33" s="59" t="s">
        <v>72</v>
      </c>
      <c r="C33" s="117" t="s">
        <v>73</v>
      </c>
      <c r="D33" s="450">
        <f>SAMUI!D32+AMC!D32+CRM!D32</f>
        <v>0</v>
      </c>
      <c r="E33" s="450">
        <f>SAMUI!E32+AMC!E32+CRM!E32</f>
        <v>0</v>
      </c>
      <c r="F33" s="450">
        <f>SAMUI!F32+AMC!F32+CRM!F32</f>
        <v>0</v>
      </c>
      <c r="G33" s="172">
        <f>SAMUI!G32+AMC!G32+CRM!G32</f>
        <v>0</v>
      </c>
      <c r="H33" s="165">
        <f>SAMUI!H32+AMC!H32+CRM!H32</f>
        <v>0</v>
      </c>
      <c r="I33" s="165">
        <f>SAMUI!I32+AMC!I32+CRM!I32</f>
        <v>0</v>
      </c>
      <c r="J33" s="451">
        <f>SAMUI!J32+AMC!J32+CRM!J32</f>
        <v>0</v>
      </c>
      <c r="K33" s="172">
        <f>SAMUI!K32+AMC!K32+CRM!K32</f>
        <v>0</v>
      </c>
      <c r="L33" s="165">
        <f>SAMUI!L32+AMC!L32+CRM!L32</f>
        <v>0</v>
      </c>
      <c r="M33" s="682">
        <f>SAMUI!M32+AMC!M32+CRM!M32</f>
        <v>0</v>
      </c>
    </row>
    <row r="34" spans="1:13" s="4" customFormat="1" ht="12.75" hidden="1" customHeight="1" thickBot="1" x14ac:dyDescent="0.25">
      <c r="A34" s="677">
        <f t="shared" si="0"/>
        <v>23</v>
      </c>
      <c r="B34" s="59" t="s">
        <v>74</v>
      </c>
      <c r="C34" s="117" t="s">
        <v>75</v>
      </c>
      <c r="D34" s="450">
        <f>SAMUI!D33+AMC!D33+CRM!D33</f>
        <v>0</v>
      </c>
      <c r="E34" s="450">
        <f>SAMUI!E33+AMC!E33+CRM!E33</f>
        <v>0</v>
      </c>
      <c r="F34" s="450">
        <f>SAMUI!F33+AMC!F33+CRM!F33</f>
        <v>0</v>
      </c>
      <c r="G34" s="172">
        <f>SAMUI!G33+AMC!G33+CRM!G33</f>
        <v>0</v>
      </c>
      <c r="H34" s="165">
        <f>SAMUI!H33+AMC!H33+CRM!H33</f>
        <v>0</v>
      </c>
      <c r="I34" s="165">
        <f>SAMUI!I33+AMC!I33+CRM!I33</f>
        <v>0</v>
      </c>
      <c r="J34" s="451">
        <f>SAMUI!J33+AMC!J33+CRM!J33</f>
        <v>0</v>
      </c>
      <c r="K34" s="172">
        <f>SAMUI!K33+AMC!K33+CRM!K33</f>
        <v>0</v>
      </c>
      <c r="L34" s="165">
        <f>SAMUI!L33+AMC!L33+CRM!L33</f>
        <v>0</v>
      </c>
      <c r="M34" s="682">
        <f>SAMUI!M33+AMC!M33+CRM!M33</f>
        <v>0</v>
      </c>
    </row>
    <row r="35" spans="1:13" s="4" customFormat="1" ht="12.75" hidden="1" customHeight="1" x14ac:dyDescent="0.2">
      <c r="A35" s="679">
        <f t="shared" si="0"/>
        <v>24</v>
      </c>
      <c r="B35" s="59" t="s">
        <v>76</v>
      </c>
      <c r="C35" s="117" t="s">
        <v>77</v>
      </c>
      <c r="D35" s="450">
        <f>SAMUI!D34+AMC!D34+CRM!D34</f>
        <v>0</v>
      </c>
      <c r="E35" s="450">
        <f>SAMUI!E34+AMC!E34+CRM!E34</f>
        <v>0</v>
      </c>
      <c r="F35" s="450">
        <f>SAMUI!F34+AMC!F34+CRM!F34</f>
        <v>0</v>
      </c>
      <c r="G35" s="172">
        <f>SAMUI!G34+AMC!G34+CRM!G34</f>
        <v>0</v>
      </c>
      <c r="H35" s="165">
        <f>SAMUI!H34+AMC!H34+CRM!H34</f>
        <v>0</v>
      </c>
      <c r="I35" s="165">
        <f>SAMUI!I34+AMC!I34+CRM!I34</f>
        <v>0</v>
      </c>
      <c r="J35" s="451">
        <f>SAMUI!J34+AMC!J34+CRM!J34</f>
        <v>0</v>
      </c>
      <c r="K35" s="172">
        <f>SAMUI!K34+AMC!K34+CRM!K34</f>
        <v>0</v>
      </c>
      <c r="L35" s="165">
        <f>SAMUI!L34+AMC!L34+CRM!L34</f>
        <v>0</v>
      </c>
      <c r="M35" s="682">
        <f>SAMUI!M34+AMC!M34+CRM!M34</f>
        <v>0</v>
      </c>
    </row>
    <row r="36" spans="1:13" s="4" customFormat="1" ht="12.75" hidden="1" customHeight="1" x14ac:dyDescent="0.2">
      <c r="A36" s="677">
        <f t="shared" si="0"/>
        <v>25</v>
      </c>
      <c r="B36" s="59" t="s">
        <v>78</v>
      </c>
      <c r="C36" s="117" t="s">
        <v>79</v>
      </c>
      <c r="D36" s="450">
        <f>SAMUI!D35+AMC!D35+CRM!D35</f>
        <v>0</v>
      </c>
      <c r="E36" s="450">
        <f>SAMUI!E35+AMC!E35+CRM!E35</f>
        <v>0</v>
      </c>
      <c r="F36" s="450">
        <f>SAMUI!F35+AMC!F35+CRM!F35</f>
        <v>0</v>
      </c>
      <c r="G36" s="172">
        <f>SAMUI!G35+AMC!G35+CRM!G35</f>
        <v>0</v>
      </c>
      <c r="H36" s="165">
        <f>SAMUI!H35+AMC!H35+CRM!H35</f>
        <v>0</v>
      </c>
      <c r="I36" s="165">
        <f>SAMUI!I35+AMC!I35+CRM!I35</f>
        <v>0</v>
      </c>
      <c r="J36" s="451">
        <f>SAMUI!J35+AMC!J35+CRM!J35</f>
        <v>0</v>
      </c>
      <c r="K36" s="172">
        <f>SAMUI!K35+AMC!K35+CRM!K35</f>
        <v>0</v>
      </c>
      <c r="L36" s="165">
        <f>SAMUI!L35+AMC!L35+CRM!L35</f>
        <v>0</v>
      </c>
      <c r="M36" s="682">
        <f>SAMUI!M35+AMC!M35+CRM!M35</f>
        <v>0</v>
      </c>
    </row>
    <row r="37" spans="1:13" s="4" customFormat="1" ht="12.75" hidden="1" customHeight="1" x14ac:dyDescent="0.2">
      <c r="A37" s="679">
        <f t="shared" si="0"/>
        <v>26</v>
      </c>
      <c r="B37" s="59" t="s">
        <v>80</v>
      </c>
      <c r="C37" s="117" t="s">
        <v>81</v>
      </c>
      <c r="D37" s="450">
        <f>SAMUI!D36+AMC!D36+CRM!D36</f>
        <v>0</v>
      </c>
      <c r="E37" s="450">
        <f>SAMUI!E36+AMC!E36+CRM!E36</f>
        <v>0</v>
      </c>
      <c r="F37" s="450">
        <f>SAMUI!F36+AMC!F36+CRM!F36</f>
        <v>0</v>
      </c>
      <c r="G37" s="172">
        <f>SAMUI!G36+AMC!G36+CRM!G36</f>
        <v>0</v>
      </c>
      <c r="H37" s="165">
        <f>SAMUI!H36+AMC!H36+CRM!H36</f>
        <v>0</v>
      </c>
      <c r="I37" s="165">
        <f>SAMUI!I36+AMC!I36+CRM!I36</f>
        <v>0</v>
      </c>
      <c r="J37" s="451">
        <f>SAMUI!J36+AMC!J36+CRM!J36</f>
        <v>0</v>
      </c>
      <c r="K37" s="172">
        <f>SAMUI!K36+AMC!K36+CRM!K36</f>
        <v>0</v>
      </c>
      <c r="L37" s="165">
        <f>SAMUI!L36+AMC!L36+CRM!L36</f>
        <v>0</v>
      </c>
      <c r="M37" s="682">
        <f>SAMUI!M36+AMC!M36+CRM!M36</f>
        <v>0</v>
      </c>
    </row>
    <row r="38" spans="1:13" s="4" customFormat="1" ht="12.75" hidden="1" customHeight="1" x14ac:dyDescent="0.2">
      <c r="A38" s="677">
        <f t="shared" si="0"/>
        <v>27</v>
      </c>
      <c r="B38" s="74" t="s">
        <v>83</v>
      </c>
      <c r="C38" s="117" t="s">
        <v>84</v>
      </c>
      <c r="D38" s="450">
        <f>SAMUI!D37+AMC!D37+CRM!D37</f>
        <v>0</v>
      </c>
      <c r="E38" s="450">
        <f>SAMUI!E37+AMC!E37+CRM!E37</f>
        <v>0</v>
      </c>
      <c r="F38" s="450">
        <f>SAMUI!F37+AMC!F37+CRM!F37</f>
        <v>0</v>
      </c>
      <c r="G38" s="172">
        <f>SAMUI!G37+AMC!G37+CRM!G37</f>
        <v>0</v>
      </c>
      <c r="H38" s="165">
        <f>SAMUI!H37+AMC!H37+CRM!H37</f>
        <v>0</v>
      </c>
      <c r="I38" s="165">
        <f>SAMUI!I37+AMC!I37+CRM!I37</f>
        <v>0</v>
      </c>
      <c r="J38" s="451">
        <f>SAMUI!J37+AMC!J37+CRM!J37</f>
        <v>0</v>
      </c>
      <c r="K38" s="172">
        <f>SAMUI!K37+AMC!K37+CRM!K37</f>
        <v>0</v>
      </c>
      <c r="L38" s="165">
        <f>SAMUI!L37+AMC!L37+CRM!L37</f>
        <v>0</v>
      </c>
      <c r="M38" s="682">
        <f>SAMUI!M37+AMC!M37+CRM!M37</f>
        <v>0</v>
      </c>
    </row>
    <row r="39" spans="1:13" s="4" customFormat="1" ht="12.75" hidden="1" customHeight="1" thickBot="1" x14ac:dyDescent="0.25">
      <c r="A39" s="679">
        <f t="shared" si="0"/>
        <v>28</v>
      </c>
      <c r="B39" s="59" t="s">
        <v>86</v>
      </c>
      <c r="C39" s="117" t="s">
        <v>87</v>
      </c>
      <c r="D39" s="450">
        <f>SAMUI!D38+AMC!D38+CRM!D38</f>
        <v>0</v>
      </c>
      <c r="E39" s="450">
        <f>SAMUI!E38+AMC!E38+CRM!E38</f>
        <v>0</v>
      </c>
      <c r="F39" s="450">
        <f>SAMUI!F38+AMC!F38+CRM!F38</f>
        <v>0</v>
      </c>
      <c r="G39" s="172">
        <f>SAMUI!G38+AMC!G38+CRM!G38</f>
        <v>0</v>
      </c>
      <c r="H39" s="165">
        <f>SAMUI!H38+AMC!H38+CRM!H38</f>
        <v>0</v>
      </c>
      <c r="I39" s="165">
        <f>SAMUI!I38+AMC!I38+CRM!I38</f>
        <v>0</v>
      </c>
      <c r="J39" s="451">
        <f>SAMUI!J38+AMC!J38+CRM!J38</f>
        <v>0</v>
      </c>
      <c r="K39" s="172">
        <f>SAMUI!K38+AMC!K38+CRM!K38</f>
        <v>0</v>
      </c>
      <c r="L39" s="165">
        <f>SAMUI!L38+AMC!L38+CRM!L38</f>
        <v>0</v>
      </c>
      <c r="M39" s="682">
        <f>SAMUI!M38+AMC!M38+CRM!M38</f>
        <v>0</v>
      </c>
    </row>
    <row r="40" spans="1:13" s="4" customFormat="1" ht="12.75" hidden="1" customHeight="1" x14ac:dyDescent="0.2">
      <c r="A40" s="677">
        <f t="shared" si="0"/>
        <v>29</v>
      </c>
      <c r="B40" s="55" t="s">
        <v>91</v>
      </c>
      <c r="C40" s="141" t="s">
        <v>92</v>
      </c>
      <c r="D40" s="448">
        <f>SAMUI!D39+AMC!D39+CRM!D39</f>
        <v>0</v>
      </c>
      <c r="E40" s="448">
        <f>SAMUI!E39+AMC!E39+CRM!E39</f>
        <v>0</v>
      </c>
      <c r="F40" s="448">
        <f>SAMUI!F39+AMC!F39+CRM!F39</f>
        <v>0</v>
      </c>
      <c r="G40" s="173">
        <f>SAMUI!G39+AMC!G39+CRM!G39</f>
        <v>0</v>
      </c>
      <c r="H40" s="163">
        <f>SAMUI!H39+AMC!H39+CRM!H39</f>
        <v>0</v>
      </c>
      <c r="I40" s="163">
        <f>SAMUI!I39+AMC!I39+CRM!I39</f>
        <v>0</v>
      </c>
      <c r="J40" s="449">
        <f>SAMUI!J39+AMC!J39+CRM!J39</f>
        <v>0</v>
      </c>
      <c r="K40" s="173">
        <f>SAMUI!K39+AMC!K39+CRM!K39</f>
        <v>0</v>
      </c>
      <c r="L40" s="163">
        <f>SAMUI!L39+AMC!L39+CRM!L39</f>
        <v>0</v>
      </c>
      <c r="M40" s="681">
        <f>SAMUI!M39+AMC!M39+CRM!M39</f>
        <v>0</v>
      </c>
    </row>
    <row r="41" spans="1:13" s="4" customFormat="1" ht="12.75" hidden="1" customHeight="1" x14ac:dyDescent="0.2">
      <c r="A41" s="679">
        <f t="shared" si="0"/>
        <v>30</v>
      </c>
      <c r="B41" s="55" t="s">
        <v>309</v>
      </c>
      <c r="C41" s="141" t="s">
        <v>310</v>
      </c>
      <c r="D41" s="448">
        <f>SAMUI!D40+AMC!D40+CRM!D40</f>
        <v>0</v>
      </c>
      <c r="E41" s="448">
        <f>SAMUI!E40+AMC!E40+CRM!E40</f>
        <v>0</v>
      </c>
      <c r="F41" s="448">
        <f>SAMUI!F40+AMC!F40+CRM!F40</f>
        <v>0</v>
      </c>
      <c r="G41" s="173">
        <f>SAMUI!G40+AMC!G40+CRM!G40</f>
        <v>0</v>
      </c>
      <c r="H41" s="163">
        <f>SAMUI!H40+AMC!H40+CRM!H40</f>
        <v>0</v>
      </c>
      <c r="I41" s="163">
        <f>SAMUI!I40+AMC!I40+CRM!I40</f>
        <v>0</v>
      </c>
      <c r="J41" s="449">
        <f>SAMUI!J40+AMC!J40+CRM!J40</f>
        <v>0</v>
      </c>
      <c r="K41" s="173">
        <f>SAMUI!K40+AMC!K40+CRM!K40</f>
        <v>0</v>
      </c>
      <c r="L41" s="163">
        <f>SAMUI!L40+AMC!L40+CRM!L40</f>
        <v>0</v>
      </c>
      <c r="M41" s="681">
        <f>SAMUI!M40+AMC!M40+CRM!M40</f>
        <v>0</v>
      </c>
    </row>
    <row r="42" spans="1:13" s="4" customFormat="1" ht="13.5" thickBot="1" x14ac:dyDescent="0.25">
      <c r="A42" s="677">
        <f t="shared" si="0"/>
        <v>31</v>
      </c>
      <c r="B42" s="55" t="s">
        <v>95</v>
      </c>
      <c r="C42" s="114" t="s">
        <v>96</v>
      </c>
      <c r="D42" s="448">
        <f>SAMUI!D41+AMC!D41+CRM!D41</f>
        <v>0</v>
      </c>
      <c r="E42" s="448">
        <f>SAMUI!E41+AMC!E41+CRM!E41</f>
        <v>0</v>
      </c>
      <c r="F42" s="448">
        <f>SAMUI!F41+AMC!F41+CRM!F41</f>
        <v>287</v>
      </c>
      <c r="G42" s="173">
        <f>SAMUI!G41+AMC!G41+CRM!G41</f>
        <v>230</v>
      </c>
      <c r="H42" s="163">
        <f>SAMUI!H41+AMC!H41+CRM!H41</f>
        <v>57</v>
      </c>
      <c r="I42" s="163">
        <f>SAMUI!I41+AMC!I41+CRM!I41</f>
        <v>0</v>
      </c>
      <c r="J42" s="449">
        <f>SAMUI!J41+AMC!J41+CRM!J41</f>
        <v>0</v>
      </c>
      <c r="K42" s="173">
        <f>SAMUI!K41+AMC!K41+CRM!K41</f>
        <v>0</v>
      </c>
      <c r="L42" s="163">
        <f>SAMUI!L41+AMC!L41+CRM!L41</f>
        <v>0</v>
      </c>
      <c r="M42" s="681">
        <f>SAMUI!M41+AMC!M41+CRM!M41</f>
        <v>0</v>
      </c>
    </row>
    <row r="43" spans="1:13" s="4" customFormat="1" ht="13.5" thickBot="1" x14ac:dyDescent="0.25">
      <c r="A43" s="679">
        <f t="shared" si="0"/>
        <v>32</v>
      </c>
      <c r="B43" s="59" t="s">
        <v>97</v>
      </c>
      <c r="C43" s="117" t="s">
        <v>98</v>
      </c>
      <c r="D43" s="450">
        <f>SAMUI!D42+AMC!D42+CRM!D42</f>
        <v>0</v>
      </c>
      <c r="E43" s="450">
        <f>SAMUI!E42+AMC!E42+CRM!E42</f>
        <v>0</v>
      </c>
      <c r="F43" s="450">
        <f>SAMUI!F42+AMC!F42+CRM!F42</f>
        <v>78</v>
      </c>
      <c r="G43" s="172">
        <f>SAMUI!G42+AMC!G42+CRM!G42</f>
        <v>78</v>
      </c>
      <c r="H43" s="165">
        <f>SAMUI!H42+AMC!H42+CRM!H42</f>
        <v>0</v>
      </c>
      <c r="I43" s="165">
        <f>SAMUI!I42+AMC!I42+CRM!I42</f>
        <v>0</v>
      </c>
      <c r="J43" s="451">
        <f>SAMUI!J42+AMC!J42+CRM!J42</f>
        <v>0</v>
      </c>
      <c r="K43" s="172">
        <f>SAMUI!K42+AMC!K42+CRM!K42</f>
        <v>0</v>
      </c>
      <c r="L43" s="165">
        <f>SAMUI!L42+AMC!L42+CRM!L42</f>
        <v>0</v>
      </c>
      <c r="M43" s="682">
        <f>SAMUI!M42+AMC!M42+CRM!M42</f>
        <v>0</v>
      </c>
    </row>
    <row r="44" spans="1:13" s="4" customFormat="1" ht="13.5" thickBot="1" x14ac:dyDescent="0.25">
      <c r="A44" s="677">
        <f t="shared" si="0"/>
        <v>33</v>
      </c>
      <c r="B44" s="59" t="s">
        <v>99</v>
      </c>
      <c r="C44" s="117" t="s">
        <v>100</v>
      </c>
      <c r="D44" s="450">
        <f>SAMUI!D43+AMC!D43+CRM!D43</f>
        <v>0</v>
      </c>
      <c r="E44" s="450">
        <f>SAMUI!E43+AMC!E43+CRM!E43</f>
        <v>0</v>
      </c>
      <c r="F44" s="450">
        <f>SAMUI!F43+AMC!F43+CRM!F43</f>
        <v>157</v>
      </c>
      <c r="G44" s="172">
        <f>SAMUI!G43+AMC!G43+CRM!G43</f>
        <v>100</v>
      </c>
      <c r="H44" s="165">
        <f>SAMUI!H43+AMC!H43+CRM!H43</f>
        <v>57</v>
      </c>
      <c r="I44" s="165">
        <f>SAMUI!I43+AMC!I43+CRM!I43</f>
        <v>0</v>
      </c>
      <c r="J44" s="451">
        <f>SAMUI!J43+AMC!J43+CRM!J43</f>
        <v>0</v>
      </c>
      <c r="K44" s="172">
        <f>SAMUI!K43+AMC!K43+CRM!K43</f>
        <v>0</v>
      </c>
      <c r="L44" s="165">
        <f>SAMUI!L43+AMC!L43+CRM!L43</f>
        <v>0</v>
      </c>
      <c r="M44" s="682">
        <f>SAMUI!M43+AMC!M43+CRM!M43</f>
        <v>0</v>
      </c>
    </row>
    <row r="45" spans="1:13" s="4" customFormat="1" ht="13.5" thickBot="1" x14ac:dyDescent="0.25">
      <c r="A45" s="679">
        <f t="shared" si="0"/>
        <v>34</v>
      </c>
      <c r="B45" s="106" t="s">
        <v>101</v>
      </c>
      <c r="C45" s="196" t="s">
        <v>102</v>
      </c>
      <c r="D45" s="463">
        <f>SAMUI!D44+AMC!D44+CRM!D44</f>
        <v>0</v>
      </c>
      <c r="E45" s="463">
        <f>SAMUI!E44+AMC!E44+CRM!E44</f>
        <v>0</v>
      </c>
      <c r="F45" s="463">
        <f>SAMUI!F44+AMC!F44+CRM!F44</f>
        <v>52</v>
      </c>
      <c r="G45" s="464">
        <f>SAMUI!G44+AMC!G44+CRM!G44</f>
        <v>52</v>
      </c>
      <c r="H45" s="465">
        <f>SAMUI!H44+AMC!H44+CRM!H44</f>
        <v>0</v>
      </c>
      <c r="I45" s="465">
        <f>SAMUI!I44+AMC!I44+CRM!I44</f>
        <v>0</v>
      </c>
      <c r="J45" s="466">
        <f>SAMUI!J44+AMC!J44+CRM!J44</f>
        <v>0</v>
      </c>
      <c r="K45" s="464">
        <f>SAMUI!K44+AMC!K44+CRM!K44</f>
        <v>0</v>
      </c>
      <c r="L45" s="465">
        <f>SAMUI!L44+AMC!L44+CRM!L44</f>
        <v>0</v>
      </c>
      <c r="M45" s="685">
        <f>SAMUI!M44+AMC!M44+CRM!M44</f>
        <v>0</v>
      </c>
    </row>
    <row r="46" spans="1:13" s="4" customFormat="1" ht="13.5" thickBot="1" x14ac:dyDescent="0.25">
      <c r="A46" s="677">
        <f t="shared" si="0"/>
        <v>35</v>
      </c>
      <c r="B46" s="467" t="s">
        <v>311</v>
      </c>
      <c r="C46" s="69" t="s">
        <v>105</v>
      </c>
      <c r="D46" s="282">
        <f>SAMUI!D45+AMC!D45+CRM!D45</f>
        <v>0</v>
      </c>
      <c r="E46" s="282">
        <f>SAMUI!E45+AMC!E45+CRM!E45</f>
        <v>0</v>
      </c>
      <c r="F46" s="282">
        <f>SAMUI!F45+AMC!F45+CRM!F45</f>
        <v>64</v>
      </c>
      <c r="G46" s="282">
        <f>SAMUI!G45+AMC!G45+CRM!G45</f>
        <v>64</v>
      </c>
      <c r="H46" s="282">
        <f>SAMUI!H45+AMC!H45+CRM!H45</f>
        <v>0</v>
      </c>
      <c r="I46" s="282">
        <f>SAMUI!I45+AMC!I45+CRM!I45</f>
        <v>0</v>
      </c>
      <c r="J46" s="282">
        <f>SAMUI!J45+AMC!J45+CRM!J45</f>
        <v>0</v>
      </c>
      <c r="K46" s="282">
        <f>SAMUI!K45+AMC!K45+CRM!K45</f>
        <v>0</v>
      </c>
      <c r="L46" s="282">
        <f>SAMUI!L45+AMC!L45+CRM!L45</f>
        <v>0</v>
      </c>
      <c r="M46" s="674">
        <f>SAMUI!M45+AMC!M45+CRM!M45</f>
        <v>0</v>
      </c>
    </row>
    <row r="47" spans="1:13" s="4" customFormat="1" ht="13.5" hidden="1" thickBot="1" x14ac:dyDescent="0.25">
      <c r="A47" s="679">
        <f t="shared" si="0"/>
        <v>36</v>
      </c>
      <c r="B47" s="59" t="s">
        <v>106</v>
      </c>
      <c r="C47" s="41" t="s">
        <v>107</v>
      </c>
      <c r="D47" s="662">
        <f>SAMUI!D46+AMC!D46+CRM!D46</f>
        <v>0</v>
      </c>
      <c r="E47" s="662">
        <f>SAMUI!E46+AMC!E46+CRM!E46</f>
        <v>0</v>
      </c>
      <c r="F47" s="662">
        <f>SAMUI!F46+AMC!F46+CRM!F46</f>
        <v>0</v>
      </c>
      <c r="G47" s="662">
        <f>SAMUI!G46+AMC!G46+CRM!G46</f>
        <v>0</v>
      </c>
      <c r="H47" s="662">
        <f>SAMUI!H46+AMC!H46+CRM!H46</f>
        <v>0</v>
      </c>
      <c r="I47" s="662">
        <f>SAMUI!I46+AMC!I46+CRM!I46</f>
        <v>0</v>
      </c>
      <c r="J47" s="662">
        <f>SAMUI!J46+AMC!J46+CRM!J46</f>
        <v>0</v>
      </c>
      <c r="K47" s="662">
        <f>SAMUI!K46+AMC!K46+CRM!K46</f>
        <v>0</v>
      </c>
      <c r="L47" s="662">
        <f>SAMUI!L46+AMC!L46+CRM!L46</f>
        <v>0</v>
      </c>
      <c r="M47" s="686">
        <f>SAMUI!M46+AMC!M46+CRM!M46</f>
        <v>0</v>
      </c>
    </row>
    <row r="48" spans="1:13" s="4" customFormat="1" ht="13.5" hidden="1" thickBot="1" x14ac:dyDescent="0.25">
      <c r="A48" s="677">
        <f t="shared" si="0"/>
        <v>37</v>
      </c>
      <c r="B48" s="59" t="s">
        <v>108</v>
      </c>
      <c r="C48" s="41" t="s">
        <v>109</v>
      </c>
      <c r="D48" s="282">
        <f>SAMUI!D47+AMC!D47+CRM!D47</f>
        <v>0</v>
      </c>
      <c r="E48" s="282">
        <f>SAMUI!E47+AMC!E47+CRM!E47</f>
        <v>0</v>
      </c>
      <c r="F48" s="282">
        <f>SAMUI!F47+AMC!F47+CRM!F47</f>
        <v>0</v>
      </c>
      <c r="G48" s="282">
        <f>SAMUI!G47+AMC!G47+CRM!G47</f>
        <v>0</v>
      </c>
      <c r="H48" s="282">
        <f>SAMUI!H47+AMC!H47+CRM!H47</f>
        <v>0</v>
      </c>
      <c r="I48" s="282">
        <f>SAMUI!I47+AMC!I47+CRM!I47</f>
        <v>0</v>
      </c>
      <c r="J48" s="282">
        <f>SAMUI!J47+AMC!J47+CRM!J47</f>
        <v>0</v>
      </c>
      <c r="K48" s="282">
        <f>SAMUI!K47+AMC!K47+CRM!K47</f>
        <v>0</v>
      </c>
      <c r="L48" s="282">
        <f>SAMUI!L47+AMC!L47+CRM!L47</f>
        <v>0</v>
      </c>
      <c r="M48" s="674">
        <f>SAMUI!M47+AMC!M47+CRM!M47</f>
        <v>0</v>
      </c>
    </row>
    <row r="49" spans="1:13" s="4" customFormat="1" ht="13.5" thickBot="1" x14ac:dyDescent="0.25">
      <c r="A49" s="1019">
        <f t="shared" si="0"/>
        <v>38</v>
      </c>
      <c r="B49" s="901" t="s">
        <v>110</v>
      </c>
      <c r="C49" s="844" t="s">
        <v>111</v>
      </c>
      <c r="D49" s="1020">
        <f>SAMUI!D48+AMC!D48+CRM!D48</f>
        <v>0</v>
      </c>
      <c r="E49" s="1020">
        <f>SAMUI!E48+AMC!E48+CRM!E48</f>
        <v>0</v>
      </c>
      <c r="F49" s="1020">
        <f>SAMUI!F48+AMC!F48+CRM!F48</f>
        <v>64</v>
      </c>
      <c r="G49" s="1020">
        <f>SAMUI!G48+AMC!G48+CRM!G48</f>
        <v>64</v>
      </c>
      <c r="H49" s="1020">
        <f>SAMUI!H48+AMC!H48+CRM!H48</f>
        <v>0</v>
      </c>
      <c r="I49" s="1020">
        <f>SAMUI!I48+AMC!I48+CRM!I48</f>
        <v>0</v>
      </c>
      <c r="J49" s="1020">
        <f>SAMUI!J48+AMC!J48+CRM!J48</f>
        <v>0</v>
      </c>
      <c r="K49" s="1020">
        <f>SAMUI!K48+AMC!K48+CRM!K48</f>
        <v>0</v>
      </c>
      <c r="L49" s="1020">
        <f>SAMUI!L48+AMC!L48+CRM!L48</f>
        <v>0</v>
      </c>
      <c r="M49" s="1021">
        <f>SAMUI!M48+AMC!M48+CRM!M48</f>
        <v>0</v>
      </c>
    </row>
    <row r="50" spans="1:13" s="4" customFormat="1" ht="12.75" hidden="1" customHeight="1" thickBot="1" x14ac:dyDescent="0.25">
      <c r="A50" s="1017">
        <f t="shared" si="0"/>
        <v>39</v>
      </c>
      <c r="B50" s="194" t="s">
        <v>113</v>
      </c>
      <c r="C50" s="69" t="s">
        <v>114</v>
      </c>
      <c r="D50" s="406">
        <f>SAMUI!D49+AMC!D49+CRM!D49</f>
        <v>0</v>
      </c>
      <c r="E50" s="406">
        <f>SAMUI!E49+AMC!E49+CRM!E49</f>
        <v>0</v>
      </c>
      <c r="F50" s="406">
        <f>SAMUI!F49+AMC!F49+CRM!F49</f>
        <v>0</v>
      </c>
      <c r="G50" s="406">
        <f>SAMUI!G49+AMC!G49+CRM!G49</f>
        <v>0</v>
      </c>
      <c r="H50" s="406">
        <f>SAMUI!H49+AMC!H49+CRM!H49</f>
        <v>0</v>
      </c>
      <c r="I50" s="406">
        <f>SAMUI!I49+AMC!I49+CRM!I49</f>
        <v>0</v>
      </c>
      <c r="J50" s="406">
        <f>SAMUI!J49+AMC!J49+CRM!J49</f>
        <v>0</v>
      </c>
      <c r="K50" s="406">
        <f>SAMUI!K49+AMC!K49+CRM!K49</f>
        <v>0</v>
      </c>
      <c r="L50" s="406">
        <f>SAMUI!L49+AMC!L49+CRM!L49</f>
        <v>0</v>
      </c>
      <c r="M50" s="1018">
        <f>SAMUI!M49+AMC!M49+CRM!M49</f>
        <v>0</v>
      </c>
    </row>
    <row r="51" spans="1:13" s="4" customFormat="1" ht="12.75" hidden="1" customHeight="1" thickBot="1" x14ac:dyDescent="0.25">
      <c r="A51" s="679">
        <f t="shared" si="0"/>
        <v>40</v>
      </c>
      <c r="B51" s="59" t="s">
        <v>115</v>
      </c>
      <c r="C51" s="41" t="s">
        <v>116</v>
      </c>
      <c r="D51" s="282">
        <f>SAMUI!D50+AMC!D50+CRM!D50</f>
        <v>0</v>
      </c>
      <c r="E51" s="282">
        <f>SAMUI!E50+AMC!E50+CRM!E50</f>
        <v>0</v>
      </c>
      <c r="F51" s="282">
        <f>SAMUI!F50+AMC!F50+CRM!F50</f>
        <v>0</v>
      </c>
      <c r="G51" s="282">
        <f>SAMUI!G50+AMC!G50+CRM!G50</f>
        <v>0</v>
      </c>
      <c r="H51" s="282">
        <f>SAMUI!H50+AMC!H50+CRM!H50</f>
        <v>0</v>
      </c>
      <c r="I51" s="282">
        <f>SAMUI!I50+AMC!I50+CRM!I50</f>
        <v>0</v>
      </c>
      <c r="J51" s="282">
        <f>SAMUI!J50+AMC!J50+CRM!J50</f>
        <v>0</v>
      </c>
      <c r="K51" s="282">
        <f>SAMUI!K50+AMC!K50+CRM!K50</f>
        <v>0</v>
      </c>
      <c r="L51" s="282">
        <f>SAMUI!L50+AMC!L50+CRM!L50</f>
        <v>0</v>
      </c>
      <c r="M51" s="674">
        <f>SAMUI!M50+AMC!M50+CRM!M50</f>
        <v>0</v>
      </c>
    </row>
    <row r="52" spans="1:13" s="4" customFormat="1" ht="12.75" hidden="1" customHeight="1" thickBot="1" x14ac:dyDescent="0.25">
      <c r="A52" s="677">
        <f t="shared" si="0"/>
        <v>41</v>
      </c>
      <c r="B52" s="59" t="s">
        <v>117</v>
      </c>
      <c r="C52" s="41" t="s">
        <v>118</v>
      </c>
      <c r="D52" s="282">
        <f>SAMUI!D51+AMC!D51+CRM!D51</f>
        <v>0</v>
      </c>
      <c r="E52" s="282">
        <f>SAMUI!E51+AMC!E51+CRM!E51</f>
        <v>0</v>
      </c>
      <c r="F52" s="282">
        <f>SAMUI!F51+AMC!F51+CRM!F51</f>
        <v>0</v>
      </c>
      <c r="G52" s="282">
        <f>SAMUI!G51+AMC!G51+CRM!G51</f>
        <v>0</v>
      </c>
      <c r="H52" s="282">
        <f>SAMUI!H51+AMC!H51+CRM!H51</f>
        <v>0</v>
      </c>
      <c r="I52" s="282">
        <f>SAMUI!I51+AMC!I51+CRM!I51</f>
        <v>0</v>
      </c>
      <c r="J52" s="282">
        <f>SAMUI!J51+AMC!J51+CRM!J51</f>
        <v>0</v>
      </c>
      <c r="K52" s="282">
        <f>SAMUI!K51+AMC!K51+CRM!K51</f>
        <v>0</v>
      </c>
      <c r="L52" s="282">
        <f>SAMUI!L51+AMC!L51+CRM!L51</f>
        <v>0</v>
      </c>
      <c r="M52" s="674">
        <f>SAMUI!M51+AMC!M51+CRM!M51</f>
        <v>0</v>
      </c>
    </row>
    <row r="53" spans="1:13" s="4" customFormat="1" ht="12.75" hidden="1" customHeight="1" thickBot="1" x14ac:dyDescent="0.25">
      <c r="A53" s="679">
        <f t="shared" si="0"/>
        <v>42</v>
      </c>
      <c r="B53" s="55" t="s">
        <v>119</v>
      </c>
      <c r="C53" s="56" t="s">
        <v>120</v>
      </c>
      <c r="D53" s="282">
        <f>SAMUI!D52+AMC!D52+CRM!D52</f>
        <v>0</v>
      </c>
      <c r="E53" s="282">
        <f>SAMUI!E52+AMC!E52+CRM!E52</f>
        <v>0</v>
      </c>
      <c r="F53" s="282">
        <f>SAMUI!F52+AMC!F52+CRM!F52</f>
        <v>0</v>
      </c>
      <c r="G53" s="282">
        <f>SAMUI!G52+AMC!G52+CRM!G52</f>
        <v>0</v>
      </c>
      <c r="H53" s="282">
        <f>SAMUI!H52+AMC!H52+CRM!H52</f>
        <v>0</v>
      </c>
      <c r="I53" s="282">
        <f>SAMUI!I52+AMC!I52+CRM!I52</f>
        <v>0</v>
      </c>
      <c r="J53" s="282">
        <f>SAMUI!J52+AMC!J52+CRM!J52</f>
        <v>0</v>
      </c>
      <c r="K53" s="282">
        <f>SAMUI!K52+AMC!K52+CRM!K52</f>
        <v>0</v>
      </c>
      <c r="L53" s="282">
        <f>SAMUI!L52+AMC!L52+CRM!L52</f>
        <v>0</v>
      </c>
      <c r="M53" s="674">
        <f>SAMUI!M52+AMC!M52+CRM!M52</f>
        <v>0</v>
      </c>
    </row>
    <row r="54" spans="1:13" s="4" customFormat="1" ht="12.75" hidden="1" customHeight="1" thickBot="1" x14ac:dyDescent="0.25">
      <c r="A54" s="677">
        <f t="shared" si="0"/>
        <v>43</v>
      </c>
      <c r="B54" s="55" t="s">
        <v>121</v>
      </c>
      <c r="C54" s="56" t="s">
        <v>122</v>
      </c>
      <c r="D54" s="282">
        <f>SAMUI!D53+AMC!D53+CRM!D53</f>
        <v>0</v>
      </c>
      <c r="E54" s="282">
        <f>SAMUI!E53+AMC!E53+CRM!E53</f>
        <v>0</v>
      </c>
      <c r="F54" s="282">
        <f>SAMUI!F53+AMC!F53+CRM!F53</f>
        <v>0</v>
      </c>
      <c r="G54" s="282">
        <f>SAMUI!G53+AMC!G53+CRM!G53</f>
        <v>0</v>
      </c>
      <c r="H54" s="282">
        <f>SAMUI!H53+AMC!H53+CRM!H53</f>
        <v>0</v>
      </c>
      <c r="I54" s="282">
        <f>SAMUI!I53+AMC!I53+CRM!I53</f>
        <v>0</v>
      </c>
      <c r="J54" s="282">
        <f>SAMUI!J53+AMC!J53+CRM!J53</f>
        <v>0</v>
      </c>
      <c r="K54" s="282">
        <f>SAMUI!K53+AMC!K53+CRM!K53</f>
        <v>0</v>
      </c>
      <c r="L54" s="282">
        <f>SAMUI!L53+AMC!L53+CRM!L53</f>
        <v>0</v>
      </c>
      <c r="M54" s="674">
        <f>SAMUI!M53+AMC!M53+CRM!M53</f>
        <v>0</v>
      </c>
    </row>
    <row r="55" spans="1:13" s="4" customFormat="1" ht="12.75" hidden="1" customHeight="1" thickBot="1" x14ac:dyDescent="0.25">
      <c r="A55" s="679">
        <f t="shared" si="0"/>
        <v>44</v>
      </c>
      <c r="B55" s="55" t="s">
        <v>123</v>
      </c>
      <c r="C55" s="56" t="s">
        <v>124</v>
      </c>
      <c r="D55" s="282">
        <f>SAMUI!D54+AMC!D54+CRM!D54</f>
        <v>0</v>
      </c>
      <c r="E55" s="282">
        <f>SAMUI!E54+AMC!E54+CRM!E54</f>
        <v>0</v>
      </c>
      <c r="F55" s="282">
        <f>SAMUI!F54+AMC!F54+CRM!F54</f>
        <v>0</v>
      </c>
      <c r="G55" s="282">
        <f>SAMUI!G54+AMC!G54+CRM!G54</f>
        <v>0</v>
      </c>
      <c r="H55" s="282">
        <f>SAMUI!H54+AMC!H54+CRM!H54</f>
        <v>0</v>
      </c>
      <c r="I55" s="282">
        <f>SAMUI!I54+AMC!I54+CRM!I54</f>
        <v>0</v>
      </c>
      <c r="J55" s="282">
        <f>SAMUI!J54+AMC!J54+CRM!J54</f>
        <v>0</v>
      </c>
      <c r="K55" s="282">
        <f>SAMUI!K54+AMC!K54+CRM!K54</f>
        <v>0</v>
      </c>
      <c r="L55" s="282">
        <f>SAMUI!L54+AMC!L54+CRM!L54</f>
        <v>0</v>
      </c>
      <c r="M55" s="674">
        <f>SAMUI!M54+AMC!M54+CRM!M54</f>
        <v>0</v>
      </c>
    </row>
    <row r="56" spans="1:13" s="4" customFormat="1" ht="12.75" hidden="1" customHeight="1" thickBot="1" x14ac:dyDescent="0.25">
      <c r="A56" s="677">
        <f t="shared" si="0"/>
        <v>45</v>
      </c>
      <c r="B56" s="55" t="s">
        <v>125</v>
      </c>
      <c r="C56" s="56" t="s">
        <v>126</v>
      </c>
      <c r="D56" s="282">
        <f>SAMUI!D55+AMC!D55+CRM!D55</f>
        <v>0</v>
      </c>
      <c r="E56" s="282">
        <f>SAMUI!E55+AMC!E55+CRM!E55</f>
        <v>0</v>
      </c>
      <c r="F56" s="282">
        <f>SAMUI!F55+AMC!F55+CRM!F55</f>
        <v>0</v>
      </c>
      <c r="G56" s="282">
        <f>SAMUI!G55+AMC!G55+CRM!G55</f>
        <v>0</v>
      </c>
      <c r="H56" s="282">
        <f>SAMUI!H55+AMC!H55+CRM!H55</f>
        <v>0</v>
      </c>
      <c r="I56" s="282">
        <f>SAMUI!I55+AMC!I55+CRM!I55</f>
        <v>0</v>
      </c>
      <c r="J56" s="282">
        <f>SAMUI!J55+AMC!J55+CRM!J55</f>
        <v>0</v>
      </c>
      <c r="K56" s="282">
        <f>SAMUI!K55+AMC!K55+CRM!K55</f>
        <v>0</v>
      </c>
      <c r="L56" s="282">
        <f>SAMUI!L55+AMC!L55+CRM!L55</f>
        <v>0</v>
      </c>
      <c r="M56" s="674">
        <f>SAMUI!M55+AMC!M55+CRM!M55</f>
        <v>0</v>
      </c>
    </row>
    <row r="57" spans="1:13" s="4" customFormat="1" hidden="1" x14ac:dyDescent="0.2">
      <c r="A57" s="679">
        <f t="shared" si="0"/>
        <v>46</v>
      </c>
      <c r="B57" s="55" t="s">
        <v>312</v>
      </c>
      <c r="C57" s="56" t="s">
        <v>128</v>
      </c>
      <c r="D57" s="282">
        <f>SAMUI!D56+AMC!D56+CRM!D56</f>
        <v>0</v>
      </c>
      <c r="E57" s="282">
        <f>SAMUI!E56+AMC!E56+CRM!E56</f>
        <v>0</v>
      </c>
      <c r="F57" s="282">
        <f>SAMUI!F56+AMC!F56+CRM!F56</f>
        <v>0</v>
      </c>
      <c r="G57" s="282">
        <f>SAMUI!G56+AMC!G56+CRM!G56</f>
        <v>0</v>
      </c>
      <c r="H57" s="282">
        <f>SAMUI!H56+AMC!H56+CRM!H56</f>
        <v>0</v>
      </c>
      <c r="I57" s="282">
        <f>SAMUI!I56+AMC!I56+CRM!I56</f>
        <v>0</v>
      </c>
      <c r="J57" s="282">
        <f>SAMUI!J56+AMC!J56+CRM!J56</f>
        <v>0</v>
      </c>
      <c r="K57" s="282">
        <f>SAMUI!K56+AMC!K56+CRM!K56</f>
        <v>0</v>
      </c>
      <c r="L57" s="282">
        <f>SAMUI!L56+AMC!L56+CRM!L56</f>
        <v>0</v>
      </c>
      <c r="M57" s="674">
        <f>SAMUI!M56+AMC!M56+CRM!M56</f>
        <v>0</v>
      </c>
    </row>
    <row r="58" spans="1:13" s="4" customFormat="1" ht="13.5" hidden="1" thickBot="1" x14ac:dyDescent="0.25">
      <c r="A58" s="677">
        <f t="shared" si="0"/>
        <v>47</v>
      </c>
      <c r="B58" s="106" t="s">
        <v>313</v>
      </c>
      <c r="C58" s="81" t="s">
        <v>132</v>
      </c>
      <c r="D58" s="663">
        <f>SAMUI!D57+AMC!D57+CRM!D57</f>
        <v>0</v>
      </c>
      <c r="E58" s="663">
        <f>SAMUI!E57+AMC!E57+CRM!E57</f>
        <v>0</v>
      </c>
      <c r="F58" s="663">
        <f>SAMUI!F57+AMC!F57+CRM!F57</f>
        <v>0</v>
      </c>
      <c r="G58" s="663">
        <f>SAMUI!G57+AMC!G57+CRM!G57</f>
        <v>0</v>
      </c>
      <c r="H58" s="663">
        <f>SAMUI!H57+AMC!H57+CRM!H57</f>
        <v>0</v>
      </c>
      <c r="I58" s="663">
        <f>SAMUI!I57+AMC!I57+CRM!I57</f>
        <v>0</v>
      </c>
      <c r="J58" s="663">
        <f>SAMUI!J57+AMC!J57+CRM!J57</f>
        <v>0</v>
      </c>
      <c r="K58" s="663">
        <f>SAMUI!K57+AMC!K57+CRM!K57</f>
        <v>0</v>
      </c>
      <c r="L58" s="663">
        <f>SAMUI!L57+AMC!L57+CRM!L57</f>
        <v>0</v>
      </c>
      <c r="M58" s="687">
        <f>SAMUI!M57+AMC!M57+CRM!M57</f>
        <v>0</v>
      </c>
    </row>
    <row r="59" spans="1:13" s="4" customFormat="1" ht="13.35" hidden="1" customHeight="1" thickBot="1" x14ac:dyDescent="0.25">
      <c r="A59" s="679">
        <f t="shared" si="0"/>
        <v>48</v>
      </c>
      <c r="B59" s="197" t="s">
        <v>140</v>
      </c>
      <c r="C59" s="69" t="s">
        <v>141</v>
      </c>
      <c r="D59" s="282">
        <f>SAMUI!D63+AMC!D63+CRM!D58</f>
        <v>0</v>
      </c>
      <c r="E59" s="282">
        <f>SAMUI!E63+AMC!E63+CRM!E58</f>
        <v>0</v>
      </c>
      <c r="F59" s="282">
        <f>SAMUI!F63+AMC!F63+CRM!F58</f>
        <v>0</v>
      </c>
      <c r="G59" s="282">
        <f>SAMUI!G63+AMC!G63+CRM!G58</f>
        <v>0</v>
      </c>
      <c r="H59" s="282">
        <f>SAMUI!H63+AMC!H63+CRM!H58</f>
        <v>0</v>
      </c>
      <c r="I59" s="282">
        <f>SAMUI!I63+AMC!I63+CRM!I58</f>
        <v>0</v>
      </c>
      <c r="J59" s="282">
        <f>SAMUI!J63+AMC!J63+CRM!J58</f>
        <v>0</v>
      </c>
      <c r="K59" s="282">
        <f>SAMUI!K63+AMC!K63+CRM!K58</f>
        <v>0</v>
      </c>
      <c r="L59" s="282">
        <f>SAMUI!L63+AMC!L63+CRM!L58</f>
        <v>0</v>
      </c>
      <c r="M59" s="674">
        <f>SAMUI!M63+AMC!M63+CRM!M58</f>
        <v>0</v>
      </c>
    </row>
    <row r="60" spans="1:13" s="4" customFormat="1" ht="23.25" hidden="1" customHeight="1" thickBot="1" x14ac:dyDescent="0.25">
      <c r="A60" s="677">
        <f t="shared" si="0"/>
        <v>49</v>
      </c>
      <c r="B60" s="100" t="s">
        <v>142</v>
      </c>
      <c r="C60" s="56" t="s">
        <v>143</v>
      </c>
      <c r="D60" s="282">
        <f>SAMUI!D64+AMC!D64+CRM!D59</f>
        <v>0</v>
      </c>
      <c r="E60" s="282">
        <f>SAMUI!E64+AMC!E64+CRM!E59</f>
        <v>0</v>
      </c>
      <c r="F60" s="282">
        <f>SAMUI!F64+AMC!F64+CRM!F59</f>
        <v>0</v>
      </c>
      <c r="G60" s="282" t="e">
        <f>SAMUI!G64+AMC!G64+CRM!G59</f>
        <v>#VALUE!</v>
      </c>
      <c r="H60" s="282">
        <f>SAMUI!H64+AMC!H64+CRM!H59</f>
        <v>0</v>
      </c>
      <c r="I60" s="282">
        <f>SAMUI!I64+AMC!I64+CRM!I59</f>
        <v>0</v>
      </c>
      <c r="J60" s="282">
        <f>SAMUI!J64+AMC!J64+CRM!J59</f>
        <v>0</v>
      </c>
      <c r="K60" s="282" t="e">
        <f>SAMUI!K64+AMC!K64+CRM!K59</f>
        <v>#VALUE!</v>
      </c>
      <c r="L60" s="282">
        <f>SAMUI!L64+AMC!L64+CRM!L59</f>
        <v>0</v>
      </c>
      <c r="M60" s="674">
        <f>SAMUI!M64+AMC!M64+CRM!M59</f>
        <v>0</v>
      </c>
    </row>
    <row r="61" spans="1:13" s="4" customFormat="1" ht="12.75" hidden="1" customHeight="1" thickBot="1" x14ac:dyDescent="0.25">
      <c r="A61" s="679">
        <f t="shared" si="0"/>
        <v>50</v>
      </c>
      <c r="B61" s="59" t="s">
        <v>144</v>
      </c>
      <c r="C61" s="41" t="s">
        <v>145</v>
      </c>
      <c r="D61" s="282">
        <f>SAMUI!D65+AMC!D65+CRM!D60</f>
        <v>0</v>
      </c>
      <c r="E61" s="282">
        <f>SAMUI!E65+AMC!E65+CRM!E60</f>
        <v>0</v>
      </c>
      <c r="F61" s="282">
        <f>SAMUI!F65+AMC!F65+CRM!F60</f>
        <v>0</v>
      </c>
      <c r="G61" s="282" t="e">
        <f>SAMUI!G65+AMC!G65+CRM!G60</f>
        <v>#VALUE!</v>
      </c>
      <c r="H61" s="282">
        <f>SAMUI!H65+AMC!H65+CRM!H60</f>
        <v>0</v>
      </c>
      <c r="I61" s="282">
        <f>SAMUI!I65+AMC!I65+CRM!I60</f>
        <v>0</v>
      </c>
      <c r="J61" s="282">
        <f>SAMUI!J65+AMC!J65+CRM!J60</f>
        <v>0</v>
      </c>
      <c r="K61" s="282" t="e">
        <f>SAMUI!K65+AMC!K65+CRM!K60</f>
        <v>#VALUE!</v>
      </c>
      <c r="L61" s="282">
        <f>SAMUI!L65+AMC!L65+CRM!L60</f>
        <v>0</v>
      </c>
      <c r="M61" s="674">
        <f>SAMUI!M65+AMC!M65+CRM!M60</f>
        <v>0</v>
      </c>
    </row>
    <row r="62" spans="1:13" s="4" customFormat="1" ht="12.75" hidden="1" customHeight="1" thickBot="1" x14ac:dyDescent="0.25">
      <c r="A62" s="677">
        <f t="shared" si="0"/>
        <v>51</v>
      </c>
      <c r="B62" s="55" t="s">
        <v>146</v>
      </c>
      <c r="C62" s="56" t="s">
        <v>147</v>
      </c>
      <c r="D62" s="282">
        <f>SAMUI!D66+AMC!D66+CRM!D61</f>
        <v>0</v>
      </c>
      <c r="E62" s="282">
        <f>SAMUI!E66+AMC!E66+CRM!E61</f>
        <v>0</v>
      </c>
      <c r="F62" s="282">
        <f>SAMUI!F66+AMC!F66+CRM!F61</f>
        <v>0</v>
      </c>
      <c r="G62" s="282">
        <f>SAMUI!G66+AMC!G66+CRM!G61</f>
        <v>0</v>
      </c>
      <c r="H62" s="282">
        <f>SAMUI!H66+AMC!H66+CRM!H61</f>
        <v>0</v>
      </c>
      <c r="I62" s="282">
        <f>SAMUI!I66+AMC!I66+CRM!I61</f>
        <v>0</v>
      </c>
      <c r="J62" s="282">
        <f>SAMUI!J66+AMC!J66+CRM!J61</f>
        <v>0</v>
      </c>
      <c r="K62" s="282" t="e">
        <f>SAMUI!K66+AMC!K66+CRM!K61</f>
        <v>#VALUE!</v>
      </c>
      <c r="L62" s="282">
        <f>SAMUI!L66+AMC!L66+CRM!L61</f>
        <v>0</v>
      </c>
      <c r="M62" s="674">
        <f>SAMUI!M66+AMC!M66+CRM!M61</f>
        <v>0</v>
      </c>
    </row>
    <row r="63" spans="1:13" s="4" customFormat="1" ht="12.75" hidden="1" customHeight="1" thickBot="1" x14ac:dyDescent="0.25">
      <c r="A63" s="679">
        <f t="shared" si="0"/>
        <v>52</v>
      </c>
      <c r="B63" s="55" t="s">
        <v>148</v>
      </c>
      <c r="C63" s="56" t="s">
        <v>149</v>
      </c>
      <c r="D63" s="282">
        <f>SAMUI!D67+AMC!D67+CRM!D62</f>
        <v>0</v>
      </c>
      <c r="E63" s="282">
        <f>SAMUI!E67+AMC!E67+CRM!E62</f>
        <v>0</v>
      </c>
      <c r="F63" s="282">
        <f>SAMUI!F67+AMC!F67+CRM!F62</f>
        <v>0</v>
      </c>
      <c r="G63" s="282">
        <f>SAMUI!G67+AMC!G67+CRM!G62</f>
        <v>0</v>
      </c>
      <c r="H63" s="282">
        <f>SAMUI!H67+AMC!H67+CRM!H62</f>
        <v>0</v>
      </c>
      <c r="I63" s="282">
        <f>SAMUI!I67+AMC!I67+CRM!I62</f>
        <v>0</v>
      </c>
      <c r="J63" s="282">
        <f>SAMUI!J67+AMC!J67+CRM!J62</f>
        <v>0</v>
      </c>
      <c r="K63" s="282">
        <f>SAMUI!K67+AMC!K67+CRM!K62</f>
        <v>0</v>
      </c>
      <c r="L63" s="282">
        <f>SAMUI!L67+AMC!L67+CRM!L62</f>
        <v>0</v>
      </c>
      <c r="M63" s="674">
        <f>SAMUI!M67+AMC!M67+CRM!M62</f>
        <v>0</v>
      </c>
    </row>
    <row r="64" spans="1:13" s="4" customFormat="1" ht="12.75" hidden="1" customHeight="1" thickBot="1" x14ac:dyDescent="0.25">
      <c r="A64" s="677">
        <f t="shared" si="0"/>
        <v>53</v>
      </c>
      <c r="B64" s="115" t="s">
        <v>150</v>
      </c>
      <c r="C64" s="56" t="s">
        <v>151</v>
      </c>
      <c r="D64" s="282">
        <f>SAMUI!D68+AMC!D68+CRM!D63</f>
        <v>0</v>
      </c>
      <c r="E64" s="282">
        <f>SAMUI!E68+AMC!E68+CRM!E63</f>
        <v>0</v>
      </c>
      <c r="F64" s="282">
        <f>SAMUI!F68+AMC!F68+CRM!F63</f>
        <v>0</v>
      </c>
      <c r="G64" s="282">
        <f>SAMUI!G68+AMC!G68+CRM!G63</f>
        <v>0</v>
      </c>
      <c r="H64" s="282">
        <f>SAMUI!H68+AMC!H68+CRM!H63</f>
        <v>0</v>
      </c>
      <c r="I64" s="282">
        <f>SAMUI!I68+AMC!I68+CRM!I63</f>
        <v>0</v>
      </c>
      <c r="J64" s="282">
        <f>SAMUI!J68+AMC!J68+CRM!J63</f>
        <v>0</v>
      </c>
      <c r="K64" s="282">
        <f>SAMUI!K68+AMC!K68+CRM!K63</f>
        <v>0</v>
      </c>
      <c r="L64" s="282">
        <f>SAMUI!L68+AMC!L68+CRM!L63</f>
        <v>0</v>
      </c>
      <c r="M64" s="674">
        <f>SAMUI!M68+AMC!M68+CRM!M63</f>
        <v>0</v>
      </c>
    </row>
    <row r="65" spans="1:13" s="4" customFormat="1" ht="12.75" hidden="1" customHeight="1" thickBot="1" x14ac:dyDescent="0.25">
      <c r="A65" s="679">
        <f t="shared" si="0"/>
        <v>54</v>
      </c>
      <c r="B65" s="115" t="s">
        <v>152</v>
      </c>
      <c r="C65" s="41" t="s">
        <v>153</v>
      </c>
      <c r="D65" s="282">
        <f>SAMUI!D69+AMC!D69+CRM!D64</f>
        <v>0</v>
      </c>
      <c r="E65" s="282">
        <f>SAMUI!E69+AMC!E69+CRM!E64</f>
        <v>0</v>
      </c>
      <c r="F65" s="282">
        <f>SAMUI!F69+AMC!F69+CRM!F64</f>
        <v>0</v>
      </c>
      <c r="G65" s="282">
        <f>SAMUI!G69+AMC!G69+CRM!G64</f>
        <v>0</v>
      </c>
      <c r="H65" s="282">
        <f>SAMUI!H69+AMC!H69+CRM!H64</f>
        <v>0</v>
      </c>
      <c r="I65" s="282">
        <f>SAMUI!I69+AMC!I69+CRM!I64</f>
        <v>0</v>
      </c>
      <c r="J65" s="282">
        <f>SAMUI!J69+AMC!J69+CRM!J64</f>
        <v>0</v>
      </c>
      <c r="K65" s="282">
        <f>SAMUI!K69+AMC!K69+CRM!K64</f>
        <v>0</v>
      </c>
      <c r="L65" s="282">
        <f>SAMUI!L69+AMC!L69+CRM!L64</f>
        <v>0</v>
      </c>
      <c r="M65" s="674">
        <f>SAMUI!M69+AMC!M69+CRM!M64</f>
        <v>0</v>
      </c>
    </row>
    <row r="66" spans="1:13" s="4" customFormat="1" ht="12.75" hidden="1" customHeight="1" thickBot="1" x14ac:dyDescent="0.25">
      <c r="A66" s="677">
        <f t="shared" si="0"/>
        <v>55</v>
      </c>
      <c r="B66" s="116" t="s">
        <v>154</v>
      </c>
      <c r="C66" s="41"/>
      <c r="D66" s="282">
        <f>SAMUI!D70+AMC!D70+CRM!D65</f>
        <v>0</v>
      </c>
      <c r="E66" s="282">
        <f>SAMUI!E70+AMC!E70+CRM!E65</f>
        <v>0</v>
      </c>
      <c r="F66" s="282">
        <f>SAMUI!F70+AMC!F70+CRM!F65</f>
        <v>0</v>
      </c>
      <c r="G66" s="282">
        <f>SAMUI!G70+AMC!G70+CRM!G65</f>
        <v>0</v>
      </c>
      <c r="H66" s="282">
        <f>SAMUI!H70+AMC!H70+CRM!H65</f>
        <v>0</v>
      </c>
      <c r="I66" s="282">
        <f>SAMUI!I70+AMC!I70+CRM!I65</f>
        <v>0</v>
      </c>
      <c r="J66" s="282">
        <f>SAMUI!J70+AMC!J70+CRM!J65</f>
        <v>0</v>
      </c>
      <c r="K66" s="282">
        <f>SAMUI!K70+AMC!K70+CRM!K65</f>
        <v>0</v>
      </c>
      <c r="L66" s="282">
        <f>SAMUI!L70+AMC!L70+CRM!L65</f>
        <v>0</v>
      </c>
      <c r="M66" s="674">
        <f>SAMUI!M70+AMC!M70+CRM!M65</f>
        <v>0</v>
      </c>
    </row>
    <row r="67" spans="1:13" s="4" customFormat="1" ht="12.75" hidden="1" customHeight="1" thickBot="1" x14ac:dyDescent="0.25">
      <c r="A67" s="679">
        <f t="shared" si="0"/>
        <v>56</v>
      </c>
      <c r="B67" s="116" t="s">
        <v>156</v>
      </c>
      <c r="C67" s="41"/>
      <c r="D67" s="282">
        <f>SAMUI!D71+AMC!D71+CRM!D66</f>
        <v>0</v>
      </c>
      <c r="E67" s="282">
        <f>SAMUI!E71+AMC!E71+CRM!E66</f>
        <v>0</v>
      </c>
      <c r="F67" s="282">
        <f>SAMUI!F71+AMC!F71+CRM!F66</f>
        <v>0</v>
      </c>
      <c r="G67" s="282">
        <f>SAMUI!G71+AMC!G71+CRM!G66</f>
        <v>0</v>
      </c>
      <c r="H67" s="282">
        <f>SAMUI!H71+AMC!H71+CRM!H66</f>
        <v>0</v>
      </c>
      <c r="I67" s="282">
        <f>SAMUI!I71+AMC!I71+CRM!I66</f>
        <v>0</v>
      </c>
      <c r="J67" s="282">
        <f>SAMUI!J71+AMC!J71+CRM!J66</f>
        <v>0</v>
      </c>
      <c r="K67" s="282">
        <f>SAMUI!K71+AMC!K71+CRM!K66</f>
        <v>0</v>
      </c>
      <c r="L67" s="282">
        <f>SAMUI!L71+AMC!L71+CRM!L66</f>
        <v>0</v>
      </c>
      <c r="M67" s="674">
        <f>SAMUI!M71+AMC!M71+CRM!M66</f>
        <v>0</v>
      </c>
    </row>
    <row r="68" spans="1:13" s="4" customFormat="1" ht="12.75" hidden="1" customHeight="1" thickBot="1" x14ac:dyDescent="0.25">
      <c r="A68" s="677">
        <f t="shared" si="0"/>
        <v>57</v>
      </c>
      <c r="B68" s="116" t="s">
        <v>159</v>
      </c>
      <c r="C68" s="41"/>
      <c r="D68" s="282">
        <f>SAMUI!D72+AMC!D72+CRM!D67</f>
        <v>0</v>
      </c>
      <c r="E68" s="282">
        <f>SAMUI!E72+AMC!E72+CRM!E67</f>
        <v>0</v>
      </c>
      <c r="F68" s="282">
        <f>SAMUI!F72+AMC!F72+CRM!F67</f>
        <v>0</v>
      </c>
      <c r="G68" s="282">
        <f>SAMUI!G72+AMC!G72+CRM!G67</f>
        <v>0</v>
      </c>
      <c r="H68" s="282">
        <f>SAMUI!H72+AMC!H72+CRM!H67</f>
        <v>0</v>
      </c>
      <c r="I68" s="282">
        <f>SAMUI!I72+AMC!I72+CRM!I67</f>
        <v>0</v>
      </c>
      <c r="J68" s="282">
        <f>SAMUI!J72+AMC!J72+CRM!J67</f>
        <v>0</v>
      </c>
      <c r="K68" s="282">
        <f>SAMUI!K72+AMC!K72+CRM!K67</f>
        <v>0</v>
      </c>
      <c r="L68" s="282">
        <f>SAMUI!L72+AMC!L72+CRM!L67</f>
        <v>0</v>
      </c>
      <c r="M68" s="674">
        <f>SAMUI!M72+AMC!M72+CRM!M67</f>
        <v>0</v>
      </c>
    </row>
    <row r="69" spans="1:13" s="4" customFormat="1" ht="12.75" hidden="1" customHeight="1" thickBot="1" x14ac:dyDescent="0.25">
      <c r="A69" s="679">
        <f t="shared" si="0"/>
        <v>58</v>
      </c>
      <c r="B69" s="116" t="s">
        <v>157</v>
      </c>
      <c r="C69" s="41"/>
      <c r="D69" s="282">
        <f>SAMUI!D73+AMC!D73+CRM!D68</f>
        <v>0</v>
      </c>
      <c r="E69" s="282">
        <f>SAMUI!E73+AMC!E73+CRM!E68</f>
        <v>0</v>
      </c>
      <c r="F69" s="282">
        <f>SAMUI!F73+AMC!F73+CRM!F68</f>
        <v>0</v>
      </c>
      <c r="G69" s="282">
        <f>SAMUI!G73+AMC!G73+CRM!G68</f>
        <v>0</v>
      </c>
      <c r="H69" s="282">
        <f>SAMUI!H73+AMC!H73+CRM!H68</f>
        <v>0</v>
      </c>
      <c r="I69" s="282">
        <f>SAMUI!I73+AMC!I73+CRM!I68</f>
        <v>0</v>
      </c>
      <c r="J69" s="282">
        <f>SAMUI!J73+AMC!J73+CRM!J68</f>
        <v>0</v>
      </c>
      <c r="K69" s="282">
        <f>SAMUI!K73+AMC!K73+CRM!K68</f>
        <v>0</v>
      </c>
      <c r="L69" s="282">
        <f>SAMUI!L73+AMC!L73+CRM!L68</f>
        <v>0</v>
      </c>
      <c r="M69" s="674">
        <f>SAMUI!M73+AMC!M73+CRM!M68</f>
        <v>0</v>
      </c>
    </row>
    <row r="70" spans="1:13" s="4" customFormat="1" ht="12.75" hidden="1" customHeight="1" thickBot="1" x14ac:dyDescent="0.25">
      <c r="A70" s="677">
        <f t="shared" si="0"/>
        <v>59</v>
      </c>
      <c r="B70" s="116" t="s">
        <v>314</v>
      </c>
      <c r="C70" s="41"/>
      <c r="D70" s="282">
        <f>SAMUI!D74+AMC!D74+CRM!D69</f>
        <v>0</v>
      </c>
      <c r="E70" s="282">
        <f>SAMUI!E74+AMC!E74+CRM!E69</f>
        <v>0</v>
      </c>
      <c r="F70" s="282">
        <f>SAMUI!F74+AMC!F74+CRM!F69</f>
        <v>0</v>
      </c>
      <c r="G70" s="282">
        <f>SAMUI!G74+AMC!G74+CRM!G69</f>
        <v>0</v>
      </c>
      <c r="H70" s="282">
        <f>SAMUI!H74+AMC!H74+CRM!H69</f>
        <v>0</v>
      </c>
      <c r="I70" s="282">
        <f>SAMUI!I74+AMC!I74+CRM!I69</f>
        <v>0</v>
      </c>
      <c r="J70" s="282">
        <f>SAMUI!J74+AMC!J74+CRM!J69</f>
        <v>0</v>
      </c>
      <c r="K70" s="282">
        <f>SAMUI!K74+AMC!K74+CRM!K69</f>
        <v>0</v>
      </c>
      <c r="L70" s="282">
        <f>SAMUI!L74+AMC!L74+CRM!L69</f>
        <v>0</v>
      </c>
      <c r="M70" s="674">
        <f>SAMUI!M74+AMC!M74+CRM!M69</f>
        <v>0</v>
      </c>
    </row>
    <row r="71" spans="1:13" s="4" customFormat="1" ht="12.75" hidden="1" customHeight="1" thickBot="1" x14ac:dyDescent="0.25">
      <c r="A71" s="679">
        <f t="shared" si="0"/>
        <v>60</v>
      </c>
      <c r="B71" s="116" t="s">
        <v>155</v>
      </c>
      <c r="C71" s="41"/>
      <c r="D71" s="282">
        <f>SAMUI!D75+AMC!D75+CRM!D70</f>
        <v>0</v>
      </c>
      <c r="E71" s="282">
        <f>SAMUI!E75+AMC!E75+CRM!E70</f>
        <v>0</v>
      </c>
      <c r="F71" s="282">
        <f>SAMUI!F75+AMC!F75+CRM!F70</f>
        <v>0</v>
      </c>
      <c r="G71" s="282">
        <f>SAMUI!G75+AMC!G75+CRM!G70</f>
        <v>0</v>
      </c>
      <c r="H71" s="282">
        <f>SAMUI!H75+AMC!H75+CRM!H70</f>
        <v>0</v>
      </c>
      <c r="I71" s="282">
        <f>SAMUI!I75+AMC!I75+CRM!I70</f>
        <v>0</v>
      </c>
      <c r="J71" s="282">
        <f>SAMUI!J75+AMC!J75+CRM!J70</f>
        <v>0</v>
      </c>
      <c r="K71" s="282">
        <f>SAMUI!K75+AMC!K75+CRM!K70</f>
        <v>0</v>
      </c>
      <c r="L71" s="282">
        <f>SAMUI!L75+AMC!L75+CRM!L70</f>
        <v>0</v>
      </c>
      <c r="M71" s="674">
        <f>SAMUI!M75+AMC!M75+CRM!M70</f>
        <v>0</v>
      </c>
    </row>
    <row r="72" spans="1:13" s="4" customFormat="1" ht="12.75" hidden="1" customHeight="1" thickBot="1" x14ac:dyDescent="0.25">
      <c r="A72" s="677">
        <f t="shared" si="0"/>
        <v>61</v>
      </c>
      <c r="B72" s="115" t="s">
        <v>165</v>
      </c>
      <c r="C72" s="41" t="s">
        <v>166</v>
      </c>
      <c r="D72" s="282">
        <f>SAMUI!D76+AMC!D76+CRM!D71</f>
        <v>0</v>
      </c>
      <c r="E72" s="282">
        <f>SAMUI!E76+AMC!E76+CRM!E71</f>
        <v>0</v>
      </c>
      <c r="F72" s="282">
        <f>SAMUI!F76+AMC!F76+CRM!F71</f>
        <v>0</v>
      </c>
      <c r="G72" s="282">
        <f>SAMUI!G76+AMC!G76+CRM!G71</f>
        <v>0</v>
      </c>
      <c r="H72" s="282">
        <f>SAMUI!H76+AMC!H76+CRM!H71</f>
        <v>0</v>
      </c>
      <c r="I72" s="282">
        <f>SAMUI!I76+AMC!I76+CRM!I71</f>
        <v>0</v>
      </c>
      <c r="J72" s="282">
        <f>SAMUI!J76+AMC!J76+CRM!J71</f>
        <v>0</v>
      </c>
      <c r="K72" s="282">
        <f>SAMUI!K76+AMC!K76+CRM!K71</f>
        <v>0</v>
      </c>
      <c r="L72" s="282">
        <f>SAMUI!L76+AMC!L76+CRM!L71</f>
        <v>0</v>
      </c>
      <c r="M72" s="674">
        <f>SAMUI!M76+AMC!M76+CRM!M71</f>
        <v>0</v>
      </c>
    </row>
    <row r="73" spans="1:13" s="4" customFormat="1" ht="12.75" hidden="1" customHeight="1" thickBot="1" x14ac:dyDescent="0.25">
      <c r="A73" s="679">
        <f t="shared" si="0"/>
        <v>62</v>
      </c>
      <c r="B73" s="116" t="s">
        <v>167</v>
      </c>
      <c r="C73" s="41"/>
      <c r="D73" s="282">
        <f>SAMUI!D77+AMC!D77+CRM!D72</f>
        <v>0</v>
      </c>
      <c r="E73" s="282">
        <f>SAMUI!E77+AMC!E77+CRM!E72</f>
        <v>0</v>
      </c>
      <c r="F73" s="282"/>
      <c r="G73" s="282">
        <f>SAMUI!G77+AMC!G77+CRM!G72</f>
        <v>0</v>
      </c>
      <c r="H73" s="282">
        <f>SAMUI!H77+AMC!H77+CRM!H72</f>
        <v>0</v>
      </c>
      <c r="I73" s="282">
        <f>SAMUI!I77+AMC!I77+CRM!I72</f>
        <v>0</v>
      </c>
      <c r="J73" s="282">
        <f>SAMUI!J77+AMC!J77+CRM!J72</f>
        <v>0</v>
      </c>
      <c r="K73" s="282">
        <f>SAMUI!K77+AMC!K77+CRM!K72</f>
        <v>0</v>
      </c>
      <c r="L73" s="282">
        <f>SAMUI!L77+AMC!L77+CRM!L72</f>
        <v>0</v>
      </c>
      <c r="M73" s="674">
        <f>SAMUI!M77+AMC!M77+CRM!M72</f>
        <v>0</v>
      </c>
    </row>
    <row r="74" spans="1:13" s="4" customFormat="1" ht="12.75" hidden="1" customHeight="1" thickBot="1" x14ac:dyDescent="0.25">
      <c r="A74" s="677">
        <f t="shared" si="0"/>
        <v>63</v>
      </c>
      <c r="B74" s="116" t="s">
        <v>168</v>
      </c>
      <c r="C74" s="41"/>
      <c r="D74" s="282">
        <f>SAMUI!D78+AMC!D78+CRM!D73</f>
        <v>0</v>
      </c>
      <c r="E74" s="282">
        <f>SAMUI!E78+AMC!E78+CRM!E73</f>
        <v>0</v>
      </c>
      <c r="F74" s="282">
        <f>SAMUI!F78+AMC!F78+CRM!F73</f>
        <v>0</v>
      </c>
      <c r="G74" s="282">
        <f>SAMUI!G78+AMC!G78+CRM!G73</f>
        <v>0</v>
      </c>
      <c r="H74" s="282">
        <f>SAMUI!H78+AMC!H78+CRM!H73</f>
        <v>0</v>
      </c>
      <c r="I74" s="282">
        <f>SAMUI!I78+AMC!I78+CRM!I73</f>
        <v>0</v>
      </c>
      <c r="J74" s="282">
        <f>SAMUI!J78+AMC!J78+CRM!J73</f>
        <v>0</v>
      </c>
      <c r="K74" s="282">
        <f>SAMUI!K78+AMC!K78+CRM!K73</f>
        <v>0</v>
      </c>
      <c r="L74" s="282">
        <f>SAMUI!L78+AMC!L78+CRM!L73</f>
        <v>0</v>
      </c>
      <c r="M74" s="674">
        <f>SAMUI!M78+AMC!M78+CRM!M73</f>
        <v>0</v>
      </c>
    </row>
    <row r="75" spans="1:13" s="4" customFormat="1" ht="13.35" hidden="1" customHeight="1" thickBot="1" x14ac:dyDescent="0.25">
      <c r="A75" s="679">
        <f t="shared" si="0"/>
        <v>64</v>
      </c>
      <c r="B75" s="126" t="s">
        <v>171</v>
      </c>
      <c r="C75" s="56" t="s">
        <v>172</v>
      </c>
      <c r="D75" s="282">
        <f>SAMUI!D79+AMC!D79+CRM!D74</f>
        <v>0</v>
      </c>
      <c r="E75" s="282">
        <f>SAMUI!E79+AMC!E79+CRM!E74</f>
        <v>0</v>
      </c>
      <c r="F75" s="282">
        <f>SAMUI!F79+AMC!F79+CRM!F74</f>
        <v>0</v>
      </c>
      <c r="G75" s="282">
        <f>SAMUI!G79+AMC!G79+CRM!G74</f>
        <v>0</v>
      </c>
      <c r="H75" s="282">
        <f>SAMUI!H79+AMC!H79+CRM!H74</f>
        <v>0</v>
      </c>
      <c r="I75" s="282">
        <f>SAMUI!I79+AMC!I79+CRM!I74</f>
        <v>0</v>
      </c>
      <c r="J75" s="282">
        <f>SAMUI!J79+AMC!J79+CRM!J74</f>
        <v>0</v>
      </c>
      <c r="K75" s="282">
        <f>SAMUI!K79+AMC!K79+CRM!K74</f>
        <v>0</v>
      </c>
      <c r="L75" s="282">
        <f>SAMUI!L79+AMC!L79+CRM!L74</f>
        <v>0</v>
      </c>
      <c r="M75" s="674">
        <f>SAMUI!M79+AMC!M79+CRM!M74</f>
        <v>0</v>
      </c>
    </row>
    <row r="76" spans="1:13" s="4" customFormat="1" ht="12.75" hidden="1" customHeight="1" thickBot="1" x14ac:dyDescent="0.25">
      <c r="A76" s="677">
        <f t="shared" si="0"/>
        <v>65</v>
      </c>
      <c r="B76" s="73" t="s">
        <v>315</v>
      </c>
      <c r="C76" s="56" t="s">
        <v>173</v>
      </c>
      <c r="D76" s="282">
        <f>SAMUI!D80+AMC!D80+CRM!D75</f>
        <v>0</v>
      </c>
      <c r="E76" s="282">
        <f>SAMUI!E80+AMC!E80+CRM!E75</f>
        <v>0</v>
      </c>
      <c r="F76" s="282">
        <f>SAMUI!F80+AMC!F80+CRM!F75</f>
        <v>0</v>
      </c>
      <c r="G76" s="282">
        <f>SAMUI!G80+AMC!G80+CRM!G75</f>
        <v>0</v>
      </c>
      <c r="H76" s="282">
        <f>SAMUI!H80+AMC!H80+CRM!H75</f>
        <v>0</v>
      </c>
      <c r="I76" s="282">
        <f>SAMUI!I80+AMC!I80+CRM!I75</f>
        <v>0</v>
      </c>
      <c r="J76" s="282">
        <f>SAMUI!J80+AMC!J80+CRM!J75</f>
        <v>0</v>
      </c>
      <c r="K76" s="282">
        <f>SAMUI!K80+AMC!K80+CRM!K75</f>
        <v>0</v>
      </c>
      <c r="L76" s="282">
        <f>SAMUI!L80+AMC!L80+CRM!L75</f>
        <v>0</v>
      </c>
      <c r="M76" s="674">
        <f>SAMUI!M80+AMC!M80+CRM!M75</f>
        <v>0</v>
      </c>
    </row>
    <row r="77" spans="1:13" s="135" customFormat="1" ht="12.75" hidden="1" customHeight="1" thickBot="1" x14ac:dyDescent="0.25">
      <c r="A77" s="679">
        <f t="shared" si="0"/>
        <v>66</v>
      </c>
      <c r="B77" s="179" t="s">
        <v>180</v>
      </c>
      <c r="C77" s="180"/>
      <c r="D77" s="282">
        <f>SAMUI!D81+AMC!D81+CRM!D76</f>
        <v>0</v>
      </c>
      <c r="E77" s="282">
        <f>SAMUI!E81+AMC!E81+CRM!E76</f>
        <v>0</v>
      </c>
      <c r="F77" s="282">
        <f>SAMUI!F81+AMC!F81+CRM!F76</f>
        <v>0</v>
      </c>
      <c r="G77" s="282">
        <f>SAMUI!G81+AMC!G81+CRM!G76</f>
        <v>0</v>
      </c>
      <c r="H77" s="282">
        <f>SAMUI!H81+AMC!H81+CRM!H76</f>
        <v>0</v>
      </c>
      <c r="I77" s="282">
        <f>SAMUI!I81+AMC!I81+CRM!I76</f>
        <v>0</v>
      </c>
      <c r="J77" s="282">
        <f>SAMUI!J81+AMC!J81+CRM!J76</f>
        <v>0</v>
      </c>
      <c r="K77" s="282">
        <f>SAMUI!K81+AMC!K81+CRM!K76</f>
        <v>0</v>
      </c>
      <c r="L77" s="282">
        <f>SAMUI!L81+AMC!L81+CRM!L76</f>
        <v>0</v>
      </c>
      <c r="M77" s="674">
        <f>SAMUI!M81+AMC!M81+CRM!M76</f>
        <v>0</v>
      </c>
    </row>
    <row r="78" spans="1:13" s="4" customFormat="1" ht="25.5" hidden="1" customHeight="1" thickBot="1" x14ac:dyDescent="0.25">
      <c r="A78" s="677">
        <f t="shared" si="0"/>
        <v>67</v>
      </c>
      <c r="B78" s="126" t="s">
        <v>181</v>
      </c>
      <c r="C78" s="136" t="s">
        <v>182</v>
      </c>
      <c r="D78" s="282">
        <f>SAMUI!D82+AMC!D82+CRM!D77</f>
        <v>0</v>
      </c>
      <c r="E78" s="282">
        <f>SAMUI!E82+AMC!E82+CRM!E77</f>
        <v>0</v>
      </c>
      <c r="F78" s="282">
        <f>SAMUI!F82+AMC!F82+CRM!F77</f>
        <v>0</v>
      </c>
      <c r="G78" s="282">
        <f>SAMUI!G82+AMC!G82+CRM!G77</f>
        <v>0</v>
      </c>
      <c r="H78" s="282">
        <f>SAMUI!H82+AMC!H82+CRM!H77</f>
        <v>0</v>
      </c>
      <c r="I78" s="282">
        <f>SAMUI!I82+AMC!I82+CRM!I77</f>
        <v>0</v>
      </c>
      <c r="J78" s="282">
        <f>SAMUI!J82+AMC!J82+CRM!J77</f>
        <v>0</v>
      </c>
      <c r="K78" s="282">
        <f>SAMUI!K82+AMC!K82+CRM!K77</f>
        <v>0</v>
      </c>
      <c r="L78" s="282">
        <f>SAMUI!L82+AMC!L82+CRM!L77</f>
        <v>0</v>
      </c>
      <c r="M78" s="674">
        <f>SAMUI!M82+AMC!M82+CRM!M77</f>
        <v>0</v>
      </c>
    </row>
    <row r="79" spans="1:13" s="4" customFormat="1" ht="12.75" hidden="1" customHeight="1" thickBot="1" x14ac:dyDescent="0.25">
      <c r="A79" s="679">
        <f t="shared" si="0"/>
        <v>68</v>
      </c>
      <c r="B79" s="55" t="s">
        <v>183</v>
      </c>
      <c r="C79" s="56" t="s">
        <v>184</v>
      </c>
      <c r="D79" s="282">
        <f>SAMUI!D83+AMC!D83+CRM!D78</f>
        <v>0</v>
      </c>
      <c r="E79" s="282">
        <f>SAMUI!E83+AMC!E83+CRM!E78</f>
        <v>0</v>
      </c>
      <c r="F79" s="282">
        <f>SAMUI!F83+AMC!F83+CRM!F78</f>
        <v>0</v>
      </c>
      <c r="G79" s="282">
        <f>SAMUI!G83+AMC!G83+CRM!G78</f>
        <v>0</v>
      </c>
      <c r="H79" s="282">
        <f>SAMUI!H83+AMC!H83+CRM!H78</f>
        <v>0</v>
      </c>
      <c r="I79" s="282">
        <f>SAMUI!I83+AMC!I83+CRM!I78</f>
        <v>0</v>
      </c>
      <c r="J79" s="282">
        <f>SAMUI!J83+AMC!J83+CRM!J78</f>
        <v>0</v>
      </c>
      <c r="K79" s="282">
        <f>SAMUI!K83+AMC!K83+CRM!K78</f>
        <v>0</v>
      </c>
      <c r="L79" s="282">
        <f>SAMUI!L83+AMC!L83+CRM!L78</f>
        <v>0</v>
      </c>
      <c r="M79" s="674">
        <f>SAMUI!M83+AMC!M83+CRM!M78</f>
        <v>0</v>
      </c>
    </row>
    <row r="80" spans="1:13" s="139" customFormat="1" ht="12.75" hidden="1" customHeight="1" thickBot="1" x14ac:dyDescent="0.25">
      <c r="A80" s="677">
        <f t="shared" si="0"/>
        <v>69</v>
      </c>
      <c r="B80" s="138" t="s">
        <v>185</v>
      </c>
      <c r="C80" s="41" t="s">
        <v>186</v>
      </c>
      <c r="D80" s="282">
        <f>SAMUI!D84+AMC!D84+CRM!D79</f>
        <v>0</v>
      </c>
      <c r="E80" s="282">
        <f>SAMUI!E84+AMC!E84+CRM!E79</f>
        <v>0</v>
      </c>
      <c r="F80" s="282">
        <f>SAMUI!F84+AMC!F84+CRM!F79</f>
        <v>0</v>
      </c>
      <c r="G80" s="282">
        <f>SAMUI!G84+AMC!G84+CRM!G79</f>
        <v>0</v>
      </c>
      <c r="H80" s="282">
        <f>SAMUI!H84+AMC!H84+CRM!H79</f>
        <v>0</v>
      </c>
      <c r="I80" s="282">
        <f>SAMUI!I84+AMC!I84+CRM!I79</f>
        <v>0</v>
      </c>
      <c r="J80" s="282">
        <f>SAMUI!J84+AMC!J84+CRM!J79</f>
        <v>0</v>
      </c>
      <c r="K80" s="282">
        <f>SAMUI!K84+AMC!K84+CRM!K79</f>
        <v>0</v>
      </c>
      <c r="L80" s="282">
        <f>SAMUI!L84+AMC!L84+CRM!L79</f>
        <v>0</v>
      </c>
      <c r="M80" s="674">
        <f>SAMUI!M84+AMC!M84+CRM!M79</f>
        <v>0</v>
      </c>
    </row>
    <row r="81" spans="1:15" s="4" customFormat="1" ht="12.75" hidden="1" customHeight="1" thickBot="1" x14ac:dyDescent="0.25">
      <c r="A81" s="679">
        <f t="shared" si="0"/>
        <v>70</v>
      </c>
      <c r="B81" s="140" t="s">
        <v>206</v>
      </c>
      <c r="C81" s="56" t="s">
        <v>207</v>
      </c>
      <c r="D81" s="282">
        <f>SAMUI!D85+AMC!D85+CRM!D80</f>
        <v>0</v>
      </c>
      <c r="E81" s="282">
        <f>SAMUI!E85+AMC!E85+CRM!E80</f>
        <v>0</v>
      </c>
      <c r="F81" s="282">
        <f>SAMUI!F85+AMC!F85+CRM!F80</f>
        <v>0</v>
      </c>
      <c r="G81" s="282">
        <f>SAMUI!G85+AMC!G85+CRM!G80</f>
        <v>0</v>
      </c>
      <c r="H81" s="282">
        <f>SAMUI!H85+AMC!H85+CRM!H80</f>
        <v>0</v>
      </c>
      <c r="I81" s="282">
        <f>SAMUI!I85+AMC!I85+CRM!I80</f>
        <v>0</v>
      </c>
      <c r="J81" s="282">
        <f>SAMUI!J85+AMC!J85+CRM!J80</f>
        <v>0</v>
      </c>
      <c r="K81" s="282">
        <f>SAMUI!K85+AMC!K85+CRM!K80</f>
        <v>0</v>
      </c>
      <c r="L81" s="282">
        <f>SAMUI!L85+AMC!L85+CRM!L80</f>
        <v>0</v>
      </c>
      <c r="M81" s="674">
        <f>SAMUI!M85+AMC!M85+CRM!M80</f>
        <v>0</v>
      </c>
    </row>
    <row r="82" spans="1:15" s="4" customFormat="1" ht="12.75" hidden="1" customHeight="1" thickBot="1" x14ac:dyDescent="0.25">
      <c r="A82" s="677">
        <f t="shared" si="0"/>
        <v>71</v>
      </c>
      <c r="B82" s="55" t="s">
        <v>208</v>
      </c>
      <c r="C82" s="75">
        <v>71</v>
      </c>
      <c r="D82" s="282">
        <f>SAMUI!D86+AMC!D86+CRM!D81</f>
        <v>0</v>
      </c>
      <c r="E82" s="282">
        <f>SAMUI!E86+AMC!E86+CRM!E81</f>
        <v>0</v>
      </c>
      <c r="F82" s="282">
        <f>SAMUI!F86+AMC!F86+CRM!F81</f>
        <v>0</v>
      </c>
      <c r="G82" s="282">
        <f>SAMUI!G86+AMC!G86+CRM!G81</f>
        <v>0</v>
      </c>
      <c r="H82" s="282">
        <f>SAMUI!H86+AMC!H86+CRM!H81</f>
        <v>0</v>
      </c>
      <c r="I82" s="282">
        <f>SAMUI!I86+AMC!I86+CRM!I81</f>
        <v>0</v>
      </c>
      <c r="J82" s="282">
        <f>SAMUI!J86+AMC!J86+CRM!J81</f>
        <v>0</v>
      </c>
      <c r="K82" s="282">
        <f>SAMUI!K86+AMC!K86+CRM!K81</f>
        <v>0</v>
      </c>
      <c r="L82" s="282">
        <f>SAMUI!L86+AMC!L86+CRM!L81</f>
        <v>0</v>
      </c>
      <c r="M82" s="674">
        <f>SAMUI!M86+AMC!M86+CRM!M81</f>
        <v>0</v>
      </c>
    </row>
    <row r="83" spans="1:15" s="4" customFormat="1" ht="12.75" hidden="1" customHeight="1" thickBot="1" x14ac:dyDescent="0.25">
      <c r="A83" s="679">
        <f t="shared" si="0"/>
        <v>72</v>
      </c>
      <c r="B83" s="55" t="s">
        <v>209</v>
      </c>
      <c r="C83" s="75" t="s">
        <v>210</v>
      </c>
      <c r="D83" s="282">
        <f>SAMUI!D87+AMC!D87+CRM!D82</f>
        <v>0</v>
      </c>
      <c r="E83" s="282">
        <f>SAMUI!E87+AMC!E87+CRM!E82</f>
        <v>0</v>
      </c>
      <c r="F83" s="282">
        <f>SAMUI!F87+AMC!F87+CRM!F82</f>
        <v>0</v>
      </c>
      <c r="G83" s="282">
        <f>SAMUI!G87+AMC!G87+CRM!G82</f>
        <v>0</v>
      </c>
      <c r="H83" s="282">
        <f>SAMUI!H87+AMC!H87+CRM!H82</f>
        <v>0</v>
      </c>
      <c r="I83" s="282">
        <f>SAMUI!I87+AMC!I87+CRM!I82</f>
        <v>0</v>
      </c>
      <c r="J83" s="282">
        <f>SAMUI!J87+AMC!J87+CRM!J82</f>
        <v>0</v>
      </c>
      <c r="K83" s="282">
        <f>SAMUI!K87+AMC!K87+CRM!K82</f>
        <v>0</v>
      </c>
      <c r="L83" s="282">
        <f>SAMUI!L87+AMC!L87+CRM!L82</f>
        <v>0</v>
      </c>
      <c r="M83" s="674">
        <f>SAMUI!M87+AMC!M87+CRM!M82</f>
        <v>0</v>
      </c>
    </row>
    <row r="84" spans="1:15" s="4" customFormat="1" ht="12.75" hidden="1" customHeight="1" thickBot="1" x14ac:dyDescent="0.25">
      <c r="A84" s="677">
        <f t="shared" si="0"/>
        <v>73</v>
      </c>
      <c r="B84" s="59" t="s">
        <v>211</v>
      </c>
      <c r="C84" s="142" t="s">
        <v>212</v>
      </c>
      <c r="D84" s="282">
        <f>SAMUI!D88+AMC!D88+CRM!D83</f>
        <v>0</v>
      </c>
      <c r="E84" s="282">
        <f>SAMUI!E88+AMC!E88+CRM!E83</f>
        <v>0</v>
      </c>
      <c r="F84" s="282">
        <f>SAMUI!F88+AMC!F88+CRM!F83</f>
        <v>0</v>
      </c>
      <c r="G84" s="282">
        <f>SAMUI!G88+AMC!G88+CRM!G83</f>
        <v>0</v>
      </c>
      <c r="H84" s="282">
        <f>SAMUI!H88+AMC!H88+CRM!H83</f>
        <v>0</v>
      </c>
      <c r="I84" s="282">
        <f>SAMUI!I88+AMC!I88+CRM!I83</f>
        <v>0</v>
      </c>
      <c r="J84" s="282">
        <f>SAMUI!J88+AMC!J88+CRM!J83</f>
        <v>0</v>
      </c>
      <c r="K84" s="282">
        <f>SAMUI!K88+AMC!K88+CRM!K83</f>
        <v>0</v>
      </c>
      <c r="L84" s="282">
        <f>SAMUI!L88+AMC!L88+CRM!L83</f>
        <v>0</v>
      </c>
      <c r="M84" s="674">
        <f>SAMUI!M88+AMC!M88+CRM!M83</f>
        <v>0</v>
      </c>
    </row>
    <row r="85" spans="1:15" s="4" customFormat="1" ht="12.75" hidden="1" customHeight="1" thickBot="1" x14ac:dyDescent="0.25">
      <c r="A85" s="679">
        <f t="shared" si="0"/>
        <v>74</v>
      </c>
      <c r="B85" s="74" t="s">
        <v>213</v>
      </c>
      <c r="C85" s="142" t="s">
        <v>214</v>
      </c>
      <c r="D85" s="282">
        <f>SAMUI!D89+AMC!D89+CRM!D84</f>
        <v>0</v>
      </c>
      <c r="E85" s="282">
        <f>SAMUI!E89+AMC!E89+CRM!E84</f>
        <v>0</v>
      </c>
      <c r="F85" s="282">
        <f>SAMUI!F89+AMC!F89+CRM!F84</f>
        <v>0</v>
      </c>
      <c r="G85" s="282">
        <f>SAMUI!G89+AMC!G89+CRM!G84</f>
        <v>0</v>
      </c>
      <c r="H85" s="282">
        <f>SAMUI!H89+AMC!H89+CRM!H84</f>
        <v>0</v>
      </c>
      <c r="I85" s="282">
        <f>SAMUI!I89+AMC!I89+CRM!I84</f>
        <v>0</v>
      </c>
      <c r="J85" s="282">
        <f>SAMUI!J89+AMC!J89+CRM!J84</f>
        <v>0</v>
      </c>
      <c r="K85" s="282">
        <f>SAMUI!K89+AMC!K89+CRM!K84</f>
        <v>0</v>
      </c>
      <c r="L85" s="282">
        <f>SAMUI!L89+AMC!L89+CRM!L84</f>
        <v>0</v>
      </c>
      <c r="M85" s="674">
        <f>SAMUI!M89+AMC!M89+CRM!M84</f>
        <v>0</v>
      </c>
    </row>
    <row r="86" spans="1:15" s="4" customFormat="1" ht="12.75" hidden="1" customHeight="1" thickBot="1" x14ac:dyDescent="0.25">
      <c r="A86" s="677">
        <f t="shared" si="0"/>
        <v>75</v>
      </c>
      <c r="B86" s="40" t="s">
        <v>216</v>
      </c>
      <c r="C86" s="142" t="s">
        <v>217</v>
      </c>
      <c r="D86" s="282">
        <f>SAMUI!D90+AMC!D90+CRM!D85</f>
        <v>0</v>
      </c>
      <c r="E86" s="282">
        <f>SAMUI!E90+AMC!E90+CRM!E85</f>
        <v>0</v>
      </c>
      <c r="F86" s="282">
        <f>SAMUI!F90+AMC!F90+CRM!F85</f>
        <v>0</v>
      </c>
      <c r="G86" s="282">
        <f>SAMUI!G90+AMC!G90+CRM!G85</f>
        <v>0</v>
      </c>
      <c r="H86" s="282">
        <f>SAMUI!H90+AMC!H90+CRM!H85</f>
        <v>0</v>
      </c>
      <c r="I86" s="282">
        <f>SAMUI!I90+AMC!I90+CRM!I85</f>
        <v>0</v>
      </c>
      <c r="J86" s="282">
        <f>SAMUI!J90+AMC!J90+CRM!J85</f>
        <v>0</v>
      </c>
      <c r="K86" s="282">
        <f>SAMUI!K90+AMC!K90+CRM!K85</f>
        <v>0</v>
      </c>
      <c r="L86" s="282">
        <f>SAMUI!L90+AMC!L90+CRM!L85</f>
        <v>0</v>
      </c>
      <c r="M86" s="674">
        <f>SAMUI!M90+AMC!M90+CRM!M85</f>
        <v>0</v>
      </c>
    </row>
    <row r="87" spans="1:15" s="4" customFormat="1" ht="13.5" hidden="1" customHeight="1" thickBot="1" x14ac:dyDescent="0.25">
      <c r="A87" s="679">
        <f t="shared" si="0"/>
        <v>76</v>
      </c>
      <c r="B87" s="144" t="s">
        <v>218</v>
      </c>
      <c r="C87" s="145" t="s">
        <v>219</v>
      </c>
      <c r="D87" s="32">
        <f>SAMUI!D91+AMC!D91+CRM!D86</f>
        <v>0</v>
      </c>
      <c r="E87" s="32">
        <f>SAMUI!E91+AMC!E91+CRM!E86</f>
        <v>0</v>
      </c>
      <c r="F87" s="32">
        <f>SAMUI!F91+AMC!F91+CRM!F86</f>
        <v>0</v>
      </c>
      <c r="G87" s="32">
        <f>SAMUI!G91+AMC!G91+CRM!G86</f>
        <v>0</v>
      </c>
      <c r="H87" s="440">
        <f>SAMUI!H91+AMC!H91+CRM!H86</f>
        <v>0</v>
      </c>
      <c r="I87" s="32">
        <f>SAMUI!I91+AMC!I91+CRM!I86</f>
        <v>0</v>
      </c>
      <c r="J87" s="32">
        <f>SAMUI!J91+AMC!J91+CRM!J86</f>
        <v>0</v>
      </c>
      <c r="K87" s="32">
        <f>SAMUI!K91+AMC!K91+CRM!K86</f>
        <v>0</v>
      </c>
      <c r="L87" s="32">
        <f>SAMUI!L91+AMC!L91+CRM!L86</f>
        <v>0</v>
      </c>
      <c r="M87" s="688">
        <f>SAMUI!M91+AMC!M91+CRM!M86</f>
        <v>0</v>
      </c>
    </row>
    <row r="88" spans="1:15" s="135" customFormat="1" hidden="1" x14ac:dyDescent="0.2">
      <c r="A88" s="689">
        <v>107</v>
      </c>
      <c r="B88" s="179" t="s">
        <v>180</v>
      </c>
      <c r="C88" s="180"/>
      <c r="D88" s="388">
        <f>'cumulat 66.08 SAMUI+AMC'!D58</f>
        <v>0</v>
      </c>
      <c r="E88" s="388">
        <f>'cumulat 66.08 SAMUI+AMC'!E58</f>
        <v>0</v>
      </c>
      <c r="F88" s="388">
        <f>'cumulat 66.08 SAMUI+AMC'!F58</f>
        <v>0</v>
      </c>
      <c r="G88" s="388">
        <f>'cumulat 66.08 SAMUI+AMC'!G58</f>
        <v>0</v>
      </c>
      <c r="H88" s="388">
        <f>'cumulat 66.08 SAMUI+AMC'!H58</f>
        <v>0</v>
      </c>
      <c r="I88" s="388">
        <f>'cumulat 66.08 SAMUI+AMC'!I58</f>
        <v>0</v>
      </c>
      <c r="J88" s="388">
        <f>'cumulat 66.08 SAMUI+AMC'!J58</f>
        <v>0</v>
      </c>
      <c r="K88" s="388">
        <f>'cumulat 66.08 SAMUI+AMC'!K58</f>
        <v>0</v>
      </c>
      <c r="L88" s="388">
        <f>'cumulat 66.08 SAMUI+AMC'!L58</f>
        <v>0</v>
      </c>
      <c r="M88" s="690">
        <f>'cumulat 66.08 SAMUI+AMC'!M58</f>
        <v>0</v>
      </c>
    </row>
    <row r="89" spans="1:15" s="613" customFormat="1" ht="12.75" hidden="1" customHeight="1" x14ac:dyDescent="0.2">
      <c r="A89" s="691">
        <v>121</v>
      </c>
      <c r="B89" s="608" t="s">
        <v>206</v>
      </c>
      <c r="C89" s="609" t="s">
        <v>207</v>
      </c>
      <c r="D89" s="671">
        <f>'cumulat 66.08 SAMUI+AMC'!D59</f>
        <v>0</v>
      </c>
      <c r="E89" s="671">
        <f>'cumulat 66.08 SAMUI+AMC'!E59</f>
        <v>0</v>
      </c>
      <c r="F89" s="671">
        <f>'cumulat 66.08 SAMUI+AMC'!F59</f>
        <v>0</v>
      </c>
      <c r="G89" s="671">
        <f>'cumulat 66.08 SAMUI+AMC'!G59</f>
        <v>0</v>
      </c>
      <c r="H89" s="671">
        <f>'cumulat 66.08 SAMUI+AMC'!H59</f>
        <v>0</v>
      </c>
      <c r="I89" s="671">
        <f>'cumulat 66.08 SAMUI+AMC'!I59</f>
        <v>0</v>
      </c>
      <c r="J89" s="671">
        <f>'cumulat 66.08 SAMUI+AMC'!J59</f>
        <v>0</v>
      </c>
      <c r="K89" s="671">
        <f>'cumulat 66.08 SAMUI+AMC'!K59</f>
        <v>0</v>
      </c>
      <c r="L89" s="671">
        <f>'cumulat 66.08 SAMUI+AMC'!L59</f>
        <v>0</v>
      </c>
      <c r="M89" s="692">
        <f>'cumulat 66.08 SAMUI+AMC'!M59</f>
        <v>0</v>
      </c>
    </row>
    <row r="90" spans="1:15" s="4" customFormat="1" ht="12.75" hidden="1" customHeight="1" x14ac:dyDescent="0.2">
      <c r="A90" s="689">
        <v>122</v>
      </c>
      <c r="B90" s="55" t="s">
        <v>208</v>
      </c>
      <c r="C90" s="75">
        <v>71</v>
      </c>
      <c r="D90" s="671">
        <f>'cumulat 66.08 SAMUI+AMC'!D60</f>
        <v>0</v>
      </c>
      <c r="E90" s="671">
        <f>'cumulat 66.08 SAMUI+AMC'!E60</f>
        <v>0</v>
      </c>
      <c r="F90" s="671">
        <f>'cumulat 66.08 SAMUI+AMC'!F60</f>
        <v>0</v>
      </c>
      <c r="G90" s="671">
        <f>'cumulat 66.08 SAMUI+AMC'!G60</f>
        <v>0</v>
      </c>
      <c r="H90" s="671">
        <f>'cumulat 66.08 SAMUI+AMC'!H60</f>
        <v>0</v>
      </c>
      <c r="I90" s="671">
        <f>'cumulat 66.08 SAMUI+AMC'!I60</f>
        <v>0</v>
      </c>
      <c r="J90" s="671">
        <f>'cumulat 66.08 SAMUI+AMC'!J60</f>
        <v>0</v>
      </c>
      <c r="K90" s="671">
        <f>'cumulat 66.08 SAMUI+AMC'!K60</f>
        <v>0</v>
      </c>
      <c r="L90" s="671">
        <f>'cumulat 66.08 SAMUI+AMC'!L60</f>
        <v>0</v>
      </c>
      <c r="M90" s="692">
        <f>'cumulat 66.08 SAMUI+AMC'!M60</f>
        <v>0</v>
      </c>
    </row>
    <row r="91" spans="1:15" s="4" customFormat="1" ht="12.75" hidden="1" customHeight="1" x14ac:dyDescent="0.2">
      <c r="A91" s="689">
        <v>123</v>
      </c>
      <c r="B91" s="55" t="s">
        <v>209</v>
      </c>
      <c r="C91" s="75" t="s">
        <v>210</v>
      </c>
      <c r="D91" s="671">
        <f>'cumulat 66.08 SAMUI+AMC'!D61</f>
        <v>0</v>
      </c>
      <c r="E91" s="671">
        <f>'cumulat 66.08 SAMUI+AMC'!E61</f>
        <v>0</v>
      </c>
      <c r="F91" s="671">
        <f>'cumulat 66.08 SAMUI+AMC'!F61</f>
        <v>0</v>
      </c>
      <c r="G91" s="671">
        <f>'cumulat 66.08 SAMUI+AMC'!G61</f>
        <v>0</v>
      </c>
      <c r="H91" s="671">
        <f>'cumulat 66.08 SAMUI+AMC'!H61</f>
        <v>0</v>
      </c>
      <c r="I91" s="671">
        <f>'cumulat 66.08 SAMUI+AMC'!I61</f>
        <v>0</v>
      </c>
      <c r="J91" s="671">
        <f>'cumulat 66.08 SAMUI+AMC'!J61</f>
        <v>0</v>
      </c>
      <c r="K91" s="671">
        <f>'cumulat 66.08 SAMUI+AMC'!K61</f>
        <v>0</v>
      </c>
      <c r="L91" s="671">
        <f>'cumulat 66.08 SAMUI+AMC'!L61</f>
        <v>0</v>
      </c>
      <c r="M91" s="692">
        <f>'cumulat 66.08 SAMUI+AMC'!M61</f>
        <v>0</v>
      </c>
    </row>
    <row r="92" spans="1:15" s="4" customFormat="1" ht="13.5" hidden="1" thickBot="1" x14ac:dyDescent="0.25">
      <c r="A92" s="693">
        <v>125</v>
      </c>
      <c r="B92" s="694" t="s">
        <v>213</v>
      </c>
      <c r="C92" s="695" t="s">
        <v>214</v>
      </c>
      <c r="D92" s="696">
        <f>'cumulat 66.08 SAMUI+AMC'!D62</f>
        <v>0</v>
      </c>
      <c r="E92" s="696">
        <f>'cumulat 66.08 SAMUI+AMC'!E62</f>
        <v>0</v>
      </c>
      <c r="F92" s="696">
        <f>'cumulat 66.08 SAMUI+AMC'!F62</f>
        <v>0</v>
      </c>
      <c r="G92" s="696">
        <f>'cumulat 66.08 SAMUI+AMC'!G62</f>
        <v>0</v>
      </c>
      <c r="H92" s="696">
        <f>'cumulat 66.08 SAMUI+AMC'!H62</f>
        <v>0</v>
      </c>
      <c r="I92" s="696">
        <f>'cumulat 66.08 SAMUI+AMC'!I62</f>
        <v>0</v>
      </c>
      <c r="J92" s="696">
        <f>'cumulat 66.08 SAMUI+AMC'!J62</f>
        <v>0</v>
      </c>
      <c r="K92" s="696">
        <f>'cumulat 66.08 SAMUI+AMC'!K62</f>
        <v>0</v>
      </c>
      <c r="L92" s="696">
        <f>'cumulat 66.08 SAMUI+AMC'!L62</f>
        <v>0</v>
      </c>
      <c r="M92" s="697">
        <f>'cumulat 66.08 SAMUI+AMC'!M62</f>
        <v>0</v>
      </c>
    </row>
    <row r="93" spans="1:15" s="4" customFormat="1" x14ac:dyDescent="0.2">
      <c r="B93" s="151" t="s">
        <v>220</v>
      </c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</row>
    <row r="94" spans="1:15" s="4" customFormat="1" ht="12.75" customHeight="1" x14ac:dyDescent="0.2">
      <c r="B94" s="151" t="s">
        <v>221</v>
      </c>
      <c r="C94" s="1107" t="s">
        <v>222</v>
      </c>
      <c r="D94" s="1107"/>
      <c r="E94" s="1107"/>
      <c r="F94" s="1107"/>
      <c r="G94" s="152" t="s">
        <v>390</v>
      </c>
      <c r="I94" s="154"/>
      <c r="J94" s="154"/>
      <c r="K94" s="152" t="s">
        <v>224</v>
      </c>
      <c r="O94" s="6"/>
    </row>
    <row r="95" spans="1:15" s="4" customFormat="1" ht="12.75" customHeight="1" x14ac:dyDescent="0.2">
      <c r="B95" s="155" t="s">
        <v>225</v>
      </c>
      <c r="C95" s="1108" t="s">
        <v>392</v>
      </c>
      <c r="D95" s="1108"/>
      <c r="E95" s="1108"/>
      <c r="F95" s="1108"/>
      <c r="G95" s="152" t="s">
        <v>227</v>
      </c>
      <c r="I95" s="156"/>
      <c r="J95" s="156"/>
      <c r="K95" s="1132" t="s">
        <v>388</v>
      </c>
      <c r="L95" s="1132"/>
      <c r="M95" s="1132"/>
      <c r="N95" s="1132"/>
      <c r="O95" s="6"/>
    </row>
    <row r="96" spans="1:15" ht="12.75" customHeight="1" x14ac:dyDescent="0.2">
      <c r="J96" s="305"/>
      <c r="K96" s="152" t="s">
        <v>389</v>
      </c>
      <c r="L96" s="4"/>
      <c r="M96" s="4"/>
      <c r="N96" s="4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</sheetData>
  <sheetProtection selectLockedCells="1" selectUnlockedCells="1"/>
  <mergeCells count="15">
    <mergeCell ref="J1:L1"/>
    <mergeCell ref="B4:M4"/>
    <mergeCell ref="B5:M5"/>
    <mergeCell ref="B6:M6"/>
    <mergeCell ref="B7:M7"/>
    <mergeCell ref="B8:M8"/>
    <mergeCell ref="G10:J10"/>
    <mergeCell ref="K10:M10"/>
    <mergeCell ref="K95:N95"/>
    <mergeCell ref="A10:A11"/>
    <mergeCell ref="B10:B11"/>
    <mergeCell ref="C10:C11"/>
    <mergeCell ref="D10:D11"/>
    <mergeCell ref="E10:E11"/>
    <mergeCell ref="F10:F11"/>
  </mergeCells>
  <printOptions horizontalCentered="1"/>
  <pageMargins left="0.31527777777777777" right="0.19652777777777777" top="0.35416666666666669" bottom="0.35416666666666669" header="0.51180555555555551" footer="0.51180555555555551"/>
  <pageSetup scale="88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A741-371D-4EC7-B5CB-294ADE57D128}">
  <dimension ref="A1:V102"/>
  <sheetViews>
    <sheetView topLeftCell="A16" workbookViewId="0">
      <selection activeCell="C64" sqref="C64:F6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28515625" style="1" customWidth="1"/>
    <col min="5" max="5" width="9.7109375" style="1" hidden="1" customWidth="1"/>
    <col min="6" max="6" width="10.85546875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119"/>
      <c r="K1" s="1119"/>
      <c r="L1" s="1119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118" t="s">
        <v>332</v>
      </c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245"/>
    </row>
    <row r="5" spans="1:14" ht="12.75" customHeight="1" x14ac:dyDescent="0.2">
      <c r="A5" s="4"/>
      <c r="B5" s="4"/>
      <c r="C5" s="49" t="s">
        <v>316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A6" s="1178" t="s">
        <v>317</v>
      </c>
      <c r="B6" s="1178"/>
      <c r="C6" s="1178"/>
      <c r="D6" s="1178"/>
      <c r="E6" s="1178"/>
      <c r="F6" s="1178"/>
      <c r="G6" s="1178"/>
      <c r="H6" s="1178"/>
      <c r="I6" s="1178"/>
      <c r="J6" s="1178"/>
      <c r="K6" s="1178"/>
      <c r="L6" s="1178"/>
      <c r="M6" s="1178"/>
      <c r="N6" s="468"/>
    </row>
    <row r="7" spans="1:14" x14ac:dyDescent="0.2">
      <c r="A7" s="4"/>
      <c r="B7" s="469"/>
      <c r="C7" s="1178"/>
      <c r="D7" s="1178"/>
      <c r="E7" s="1178"/>
      <c r="F7" s="1178"/>
      <c r="G7" s="470"/>
      <c r="H7" s="470"/>
      <c r="I7" s="470"/>
      <c r="J7" s="470"/>
      <c r="K7" s="470"/>
      <c r="L7" s="471"/>
      <c r="M7" s="245"/>
      <c r="N7" s="468"/>
    </row>
    <row r="8" spans="1:14" ht="13.5" thickBot="1" x14ac:dyDescent="0.25">
      <c r="A8" s="4"/>
      <c r="B8" s="1179"/>
      <c r="C8" s="1179"/>
      <c r="D8" s="1179"/>
      <c r="E8" s="1179"/>
      <c r="F8" s="1179"/>
      <c r="G8" s="1179"/>
      <c r="H8" s="1179"/>
      <c r="I8" s="1179"/>
      <c r="J8" s="1179"/>
      <c r="K8" s="1179"/>
      <c r="L8" s="1179"/>
      <c r="M8" s="4" t="s">
        <v>302</v>
      </c>
    </row>
    <row r="9" spans="1:14" s="4" customFormat="1" ht="12.75" customHeight="1" thickBot="1" x14ac:dyDescent="0.25">
      <c r="A9" s="1134" t="s">
        <v>6</v>
      </c>
      <c r="B9" s="1180" t="s">
        <v>7</v>
      </c>
      <c r="C9" s="1182" t="s">
        <v>8</v>
      </c>
      <c r="D9" s="1184" t="s">
        <v>379</v>
      </c>
      <c r="E9" s="1186"/>
      <c r="F9" s="1188" t="s">
        <v>380</v>
      </c>
      <c r="G9" s="1168" t="s">
        <v>12</v>
      </c>
      <c r="H9" s="1168"/>
      <c r="I9" s="1168"/>
      <c r="J9" s="1168"/>
      <c r="K9" s="1169" t="s">
        <v>13</v>
      </c>
      <c r="L9" s="1169"/>
      <c r="M9" s="1131"/>
    </row>
    <row r="10" spans="1:14" s="4" customFormat="1" ht="42.75" customHeight="1" x14ac:dyDescent="0.2">
      <c r="A10" s="1135"/>
      <c r="B10" s="1181"/>
      <c r="C10" s="1183"/>
      <c r="D10" s="1185"/>
      <c r="E10" s="1187"/>
      <c r="F10" s="1189"/>
      <c r="G10" s="970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433">
        <v>2027</v>
      </c>
      <c r="M10" s="672">
        <v>2028</v>
      </c>
    </row>
    <row r="11" spans="1:14" s="4" customFormat="1" ht="27" customHeight="1" x14ac:dyDescent="0.2">
      <c r="A11" s="907" t="s">
        <v>18</v>
      </c>
      <c r="B11" s="628" t="s">
        <v>19</v>
      </c>
      <c r="C11" s="629"/>
      <c r="D11" s="628">
        <f>SAMUI!D11+AMC!D11</f>
        <v>0</v>
      </c>
      <c r="E11" s="628">
        <f>SAMUI!E11+AMC!E11</f>
        <v>0</v>
      </c>
      <c r="F11" s="628">
        <f>SAMUI!F11+AMC!F11</f>
        <v>12001</v>
      </c>
      <c r="G11" s="628">
        <f>SAMUI!G11+AMC!G11</f>
        <v>3802</v>
      </c>
      <c r="H11" s="628">
        <f>SAMUI!H11+AMC!H11</f>
        <v>4861</v>
      </c>
      <c r="I11" s="628">
        <f>SAMUI!I11+AMC!I11</f>
        <v>3304</v>
      </c>
      <c r="J11" s="628">
        <f>SAMUI!J11+AMC!J11</f>
        <v>34</v>
      </c>
      <c r="K11" s="628">
        <f>SAMUI!K11+AMC!K11</f>
        <v>12374.405000000001</v>
      </c>
      <c r="L11" s="628">
        <f>SAMUI!L11+AMC!L11</f>
        <v>12409.355</v>
      </c>
      <c r="M11" s="737">
        <f>SAMUI!M11+AMC!M11</f>
        <v>12432.707999999999</v>
      </c>
    </row>
    <row r="12" spans="1:14" s="4" customFormat="1" ht="12.75" customHeight="1" x14ac:dyDescent="0.2">
      <c r="A12" s="908">
        <f t="shared" ref="A12:A57" si="0">A11+1</f>
        <v>2</v>
      </c>
      <c r="B12" s="630" t="s">
        <v>20</v>
      </c>
      <c r="C12" s="659"/>
      <c r="D12" s="631">
        <f>SAMUI!D12+AMC!D12</f>
        <v>0</v>
      </c>
      <c r="E12" s="631">
        <f>SAMUI!E12+AMC!E12</f>
        <v>0</v>
      </c>
      <c r="F12" s="631">
        <f>SAMUI!F12+AMC!F12</f>
        <v>12001</v>
      </c>
      <c r="G12" s="631">
        <f>SAMUI!G12+AMC!G12</f>
        <v>3802</v>
      </c>
      <c r="H12" s="631">
        <f>SAMUI!H12+AMC!H12</f>
        <v>4861</v>
      </c>
      <c r="I12" s="631">
        <f>SAMUI!I12+AMC!I12</f>
        <v>3304</v>
      </c>
      <c r="J12" s="631">
        <f>SAMUI!J12+AMC!J12</f>
        <v>34</v>
      </c>
      <c r="K12" s="631">
        <f>SAMUI!K12+AMC!K12</f>
        <v>12374.405000000001</v>
      </c>
      <c r="L12" s="631">
        <f>SAMUI!L12+AMC!L12</f>
        <v>12409.355</v>
      </c>
      <c r="M12" s="909">
        <f>SAMUI!M12+AMC!M12</f>
        <v>12432.707999999999</v>
      </c>
    </row>
    <row r="13" spans="1:14" s="4" customFormat="1" x14ac:dyDescent="0.2">
      <c r="A13" s="907">
        <f t="shared" si="0"/>
        <v>3</v>
      </c>
      <c r="B13" s="632" t="s">
        <v>21</v>
      </c>
      <c r="C13" s="633" t="s">
        <v>22</v>
      </c>
      <c r="D13" s="628">
        <f>SAMUI!D13+AMC!D13</f>
        <v>0</v>
      </c>
      <c r="E13" s="628">
        <f>SAMUI!E13+AMC!E13</f>
        <v>0</v>
      </c>
      <c r="F13" s="628">
        <f>SAMUI!F13+AMC!F13</f>
        <v>12001</v>
      </c>
      <c r="G13" s="628">
        <f>SAMUI!G13+AMC!G13</f>
        <v>3802</v>
      </c>
      <c r="H13" s="628">
        <f>SAMUI!H13+AMC!H13</f>
        <v>4861</v>
      </c>
      <c r="I13" s="628">
        <f>SAMUI!I13+AMC!I13</f>
        <v>3304</v>
      </c>
      <c r="J13" s="628">
        <f>SAMUI!J13+AMC!J13</f>
        <v>34</v>
      </c>
      <c r="K13" s="628">
        <f>SAMUI!K13+AMC!K13</f>
        <v>12374.405000000001</v>
      </c>
      <c r="L13" s="628">
        <f>SAMUI!L13+AMC!L13</f>
        <v>12409.355</v>
      </c>
      <c r="M13" s="737">
        <f>SAMUI!M13+AMC!M13</f>
        <v>12432.707999999999</v>
      </c>
    </row>
    <row r="14" spans="1:14" s="4" customFormat="1" ht="25.5" x14ac:dyDescent="0.2">
      <c r="A14" s="738">
        <f t="shared" si="0"/>
        <v>4</v>
      </c>
      <c r="B14" s="635" t="s">
        <v>318</v>
      </c>
      <c r="C14" s="636" t="s">
        <v>24</v>
      </c>
      <c r="D14" s="628">
        <f>SAMUI!D14+AMC!D14</f>
        <v>0</v>
      </c>
      <c r="E14" s="628">
        <f>SAMUI!E14+AMC!E14</f>
        <v>0</v>
      </c>
      <c r="F14" s="628">
        <f>SAMUI!F14+AMC!F14</f>
        <v>11650</v>
      </c>
      <c r="G14" s="628">
        <f>SAMUI!G14+AMC!G14</f>
        <v>3508</v>
      </c>
      <c r="H14" s="628">
        <f>SAMUI!H14+AMC!H14</f>
        <v>4804</v>
      </c>
      <c r="I14" s="628">
        <f>SAMUI!I14+AMC!I14</f>
        <v>3304</v>
      </c>
      <c r="J14" s="628">
        <f>SAMUI!J14+AMC!J14</f>
        <v>34</v>
      </c>
      <c r="K14" s="628">
        <f>SAMUI!K14+AMC!K14</f>
        <v>12018.140000000001</v>
      </c>
      <c r="L14" s="628">
        <f>SAMUI!L14+AMC!L14</f>
        <v>12053.09</v>
      </c>
      <c r="M14" s="737">
        <f>SAMUI!M14+AMC!M14</f>
        <v>12076.39</v>
      </c>
    </row>
    <row r="15" spans="1:14" s="4" customFormat="1" x14ac:dyDescent="0.2">
      <c r="A15" s="907">
        <f t="shared" si="0"/>
        <v>5</v>
      </c>
      <c r="B15" s="637" t="s">
        <v>25</v>
      </c>
      <c r="C15" s="636" t="s">
        <v>26</v>
      </c>
      <c r="D15" s="628">
        <f>SAMUI!D15+AMC!D15</f>
        <v>0</v>
      </c>
      <c r="E15" s="628">
        <f>SAMUI!E15+AMC!E15</f>
        <v>0</v>
      </c>
      <c r="F15" s="628">
        <f>SAMUI!F15+AMC!F15</f>
        <v>11256</v>
      </c>
      <c r="G15" s="628">
        <f>SAMUI!G15+AMC!G15</f>
        <v>3430</v>
      </c>
      <c r="H15" s="628">
        <f>SAMUI!H15+AMC!H15</f>
        <v>4606</v>
      </c>
      <c r="I15" s="628">
        <f>SAMUI!I15+AMC!I15</f>
        <v>3186</v>
      </c>
      <c r="J15" s="628">
        <f>SAMUI!J15+AMC!J15</f>
        <v>34</v>
      </c>
      <c r="K15" s="628">
        <f>SAMUI!K15+AMC!K15</f>
        <v>0</v>
      </c>
      <c r="L15" s="628">
        <f>SAMUI!L15+AMC!L15</f>
        <v>0</v>
      </c>
      <c r="M15" s="737">
        <f>SAMUI!M15+AMC!M15</f>
        <v>0</v>
      </c>
    </row>
    <row r="16" spans="1:14" s="4" customFormat="1" x14ac:dyDescent="0.2">
      <c r="A16" s="738">
        <f t="shared" si="0"/>
        <v>6</v>
      </c>
      <c r="B16" s="638" t="s">
        <v>319</v>
      </c>
      <c r="C16" s="639" t="s">
        <v>28</v>
      </c>
      <c r="D16" s="634">
        <f>SAMUI!D16+AMC!D16</f>
        <v>0</v>
      </c>
      <c r="E16" s="634">
        <f>SAMUI!E16+AMC!E16</f>
        <v>0</v>
      </c>
      <c r="F16" s="634">
        <f>SAMUI!F16+AMC!F16</f>
        <v>9320</v>
      </c>
      <c r="G16" s="634">
        <f>SAMUI!G16+AMC!G16</f>
        <v>2825</v>
      </c>
      <c r="H16" s="634">
        <f>SAMUI!H16+AMC!H16</f>
        <v>3831</v>
      </c>
      <c r="I16" s="634">
        <f>SAMUI!I16+AMC!I16</f>
        <v>2664</v>
      </c>
      <c r="J16" s="634">
        <f>SAMUI!J16+AMC!J16</f>
        <v>0</v>
      </c>
      <c r="K16" s="634">
        <f>SAMUI!K16+AMC!K16</f>
        <v>0</v>
      </c>
      <c r="L16" s="634">
        <f>SAMUI!L16+AMC!L16</f>
        <v>0</v>
      </c>
      <c r="M16" s="910">
        <f>SAMUI!M16+AMC!M16</f>
        <v>0</v>
      </c>
    </row>
    <row r="17" spans="1:13" s="4" customFormat="1" x14ac:dyDescent="0.2">
      <c r="A17" s="907">
        <f t="shared" si="0"/>
        <v>7</v>
      </c>
      <c r="B17" s="638" t="s">
        <v>304</v>
      </c>
      <c r="C17" s="639" t="s">
        <v>30</v>
      </c>
      <c r="D17" s="634">
        <f>SAMUI!D17+AMC!D17</f>
        <v>0</v>
      </c>
      <c r="E17" s="634">
        <f>SAMUI!E17+AMC!E17</f>
        <v>0</v>
      </c>
      <c r="F17" s="634">
        <f>SAMUI!F17+AMC!F17</f>
        <v>1040</v>
      </c>
      <c r="G17" s="634">
        <f>SAMUI!G17+AMC!G17</f>
        <v>322</v>
      </c>
      <c r="H17" s="634">
        <f>SAMUI!H17+AMC!H17</f>
        <v>451</v>
      </c>
      <c r="I17" s="634">
        <f>SAMUI!I17+AMC!I17</f>
        <v>267</v>
      </c>
      <c r="J17" s="634">
        <f>SAMUI!J17+AMC!J17</f>
        <v>0</v>
      </c>
      <c r="K17" s="634">
        <f>SAMUI!K17+AMC!K17</f>
        <v>0</v>
      </c>
      <c r="L17" s="634">
        <f>SAMUI!L17+AMC!L17</f>
        <v>0</v>
      </c>
      <c r="M17" s="910">
        <f>SAMUI!M17+AMC!M17</f>
        <v>0</v>
      </c>
    </row>
    <row r="18" spans="1:13" s="4" customFormat="1" x14ac:dyDescent="0.2">
      <c r="A18" s="738">
        <f t="shared" si="0"/>
        <v>8</v>
      </c>
      <c r="B18" s="638" t="s">
        <v>320</v>
      </c>
      <c r="C18" s="639" t="s">
        <v>32</v>
      </c>
      <c r="D18" s="634">
        <f>SAMUI!D18+AMC!D18</f>
        <v>0</v>
      </c>
      <c r="E18" s="634">
        <f>SAMUI!E18+AMC!E18</f>
        <v>0</v>
      </c>
      <c r="F18" s="634">
        <f>SAMUI!F18+AMC!F18</f>
        <v>16</v>
      </c>
      <c r="G18" s="634">
        <f>SAMUI!G18+AMC!G18</f>
        <v>5</v>
      </c>
      <c r="H18" s="634">
        <f>SAMUI!H18+AMC!H18</f>
        <v>5</v>
      </c>
      <c r="I18" s="634">
        <f>SAMUI!I18+AMC!I18</f>
        <v>6</v>
      </c>
      <c r="J18" s="634">
        <f>SAMUI!J18+AMC!J18</f>
        <v>0</v>
      </c>
      <c r="K18" s="634">
        <f>SAMUI!K18+AMC!K18</f>
        <v>0</v>
      </c>
      <c r="L18" s="634">
        <f>SAMUI!L18+AMC!L18</f>
        <v>0</v>
      </c>
      <c r="M18" s="910">
        <f>SAMUI!M18+AMC!M18</f>
        <v>0</v>
      </c>
    </row>
    <row r="19" spans="1:13" s="4" customFormat="1" hidden="1" x14ac:dyDescent="0.2">
      <c r="A19" s="907">
        <f t="shared" si="0"/>
        <v>9</v>
      </c>
      <c r="B19" s="640" t="s">
        <v>305</v>
      </c>
      <c r="C19" s="641" t="s">
        <v>34</v>
      </c>
      <c r="D19" s="634">
        <f>SAMUI!D19+AMC!D19</f>
        <v>0</v>
      </c>
      <c r="E19" s="634">
        <f>SAMUI!E19+AMC!E19</f>
        <v>0</v>
      </c>
      <c r="F19" s="634">
        <f>SAMUI!F19+AMC!F19</f>
        <v>0</v>
      </c>
      <c r="G19" s="634">
        <f>SAMUI!G19+AMC!G19</f>
        <v>0</v>
      </c>
      <c r="H19" s="634">
        <f>SAMUI!H19+AMC!H19</f>
        <v>0</v>
      </c>
      <c r="I19" s="634">
        <f>SAMUI!I19+AMC!I19</f>
        <v>0</v>
      </c>
      <c r="J19" s="634">
        <f>SAMUI!J19+AMC!J19</f>
        <v>0</v>
      </c>
      <c r="K19" s="634">
        <f>SAMUI!K19+AMC!K19</f>
        <v>0</v>
      </c>
      <c r="L19" s="634">
        <f>SAMUI!L19+AMC!L19</f>
        <v>0</v>
      </c>
      <c r="M19" s="910">
        <f>SAMUI!M19+AMC!M19</f>
        <v>0</v>
      </c>
    </row>
    <row r="20" spans="1:13" s="4" customFormat="1" hidden="1" x14ac:dyDescent="0.2">
      <c r="A20" s="738">
        <f t="shared" si="0"/>
        <v>10</v>
      </c>
      <c r="B20" s="638" t="s">
        <v>321</v>
      </c>
      <c r="C20" s="639" t="s">
        <v>36</v>
      </c>
      <c r="D20" s="634">
        <f>SAMUI!D20+AMC!D20</f>
        <v>0</v>
      </c>
      <c r="E20" s="634">
        <f>SAMUI!E20+AMC!E20</f>
        <v>0</v>
      </c>
      <c r="F20" s="634">
        <f>SAMUI!F20+AMC!F20</f>
        <v>0</v>
      </c>
      <c r="G20" s="634">
        <f>SAMUI!G20+AMC!G20</f>
        <v>0</v>
      </c>
      <c r="H20" s="634">
        <f>SAMUI!H20+AMC!H20</f>
        <v>0</v>
      </c>
      <c r="I20" s="634">
        <f>SAMUI!I20+AMC!I20</f>
        <v>0</v>
      </c>
      <c r="J20" s="634">
        <f>SAMUI!J20+AMC!J20</f>
        <v>0</v>
      </c>
      <c r="K20" s="634">
        <f>SAMUI!K20+AMC!K20</f>
        <v>0</v>
      </c>
      <c r="L20" s="634">
        <f>SAMUI!L20+AMC!L20</f>
        <v>0</v>
      </c>
      <c r="M20" s="910">
        <f>SAMUI!M20+AMC!M20</f>
        <v>0</v>
      </c>
    </row>
    <row r="21" spans="1:13" s="4" customFormat="1" hidden="1" x14ac:dyDescent="0.2">
      <c r="A21" s="907">
        <f t="shared" si="0"/>
        <v>11</v>
      </c>
      <c r="B21" s="638" t="s">
        <v>306</v>
      </c>
      <c r="C21" s="639" t="s">
        <v>307</v>
      </c>
      <c r="D21" s="634">
        <f>SAMUI!D21+AMC!D21</f>
        <v>0</v>
      </c>
      <c r="E21" s="634">
        <f>SAMUI!E21+AMC!E21</f>
        <v>0</v>
      </c>
      <c r="F21" s="634">
        <f>SAMUI!F21+AMC!F21</f>
        <v>0</v>
      </c>
      <c r="G21" s="634">
        <f>SAMUI!G21+AMC!G21</f>
        <v>0</v>
      </c>
      <c r="H21" s="634">
        <f>SAMUI!H21+AMC!H21</f>
        <v>0</v>
      </c>
      <c r="I21" s="634">
        <f>SAMUI!I21+AMC!I21</f>
        <v>0</v>
      </c>
      <c r="J21" s="634">
        <f>SAMUI!J21+AMC!J21</f>
        <v>0</v>
      </c>
      <c r="K21" s="634">
        <f>SAMUI!K21+AMC!K21</f>
        <v>0</v>
      </c>
      <c r="L21" s="634">
        <f>SAMUI!L21+AMC!L21</f>
        <v>0</v>
      </c>
      <c r="M21" s="910">
        <f>SAMUI!M21+AMC!M21</f>
        <v>0</v>
      </c>
    </row>
    <row r="22" spans="1:13" s="4" customFormat="1" x14ac:dyDescent="0.2">
      <c r="A22" s="738">
        <f t="shared" si="0"/>
        <v>12</v>
      </c>
      <c r="B22" s="638" t="s">
        <v>37</v>
      </c>
      <c r="C22" s="639" t="s">
        <v>38</v>
      </c>
      <c r="D22" s="634">
        <f>SAMUI!D22+AMC!D22</f>
        <v>0</v>
      </c>
      <c r="E22" s="634">
        <f>SAMUI!E22+AMC!E22</f>
        <v>0</v>
      </c>
      <c r="F22" s="634">
        <f>SAMUI!F22+AMC!F22</f>
        <v>370</v>
      </c>
      <c r="G22" s="634">
        <f>SAMUI!G22+AMC!G22</f>
        <v>126</v>
      </c>
      <c r="H22" s="634">
        <f>SAMUI!H22+AMC!H22</f>
        <v>157</v>
      </c>
      <c r="I22" s="634">
        <f>SAMUI!I22+AMC!I22</f>
        <v>87</v>
      </c>
      <c r="J22" s="634">
        <f>SAMUI!J22+AMC!J22</f>
        <v>0</v>
      </c>
      <c r="K22" s="634">
        <f>SAMUI!K22+AMC!K22</f>
        <v>0</v>
      </c>
      <c r="L22" s="634">
        <f>SAMUI!L22+AMC!L22</f>
        <v>0</v>
      </c>
      <c r="M22" s="910">
        <f>SAMUI!M22+AMC!M22</f>
        <v>0</v>
      </c>
    </row>
    <row r="23" spans="1:13" s="4" customFormat="1" x14ac:dyDescent="0.2">
      <c r="A23" s="907">
        <f t="shared" si="0"/>
        <v>13</v>
      </c>
      <c r="B23" s="638" t="s">
        <v>39</v>
      </c>
      <c r="C23" s="639" t="s">
        <v>40</v>
      </c>
      <c r="D23" s="634">
        <f>SAMUI!D23+AMC!D23</f>
        <v>0</v>
      </c>
      <c r="E23" s="634">
        <f>SAMUI!E23+AMC!E23</f>
        <v>0</v>
      </c>
      <c r="F23" s="634">
        <f>SAMUI!F23+AMC!F23</f>
        <v>510</v>
      </c>
      <c r="G23" s="634">
        <f>SAMUI!G23+AMC!G23</f>
        <v>152</v>
      </c>
      <c r="H23" s="634">
        <f>SAMUI!H23+AMC!H23</f>
        <v>162</v>
      </c>
      <c r="I23" s="634">
        <f>SAMUI!I23+AMC!I23</f>
        <v>162</v>
      </c>
      <c r="J23" s="634">
        <f>SAMUI!J23+AMC!J23</f>
        <v>34</v>
      </c>
      <c r="K23" s="634">
        <f>SAMUI!K23+AMC!K23</f>
        <v>0</v>
      </c>
      <c r="L23" s="634">
        <f>SAMUI!L23+AMC!L23</f>
        <v>0</v>
      </c>
      <c r="M23" s="910">
        <f>SAMUI!M23+AMC!M23</f>
        <v>0</v>
      </c>
    </row>
    <row r="24" spans="1:13" s="4" customFormat="1" x14ac:dyDescent="0.2">
      <c r="A24" s="738">
        <f t="shared" si="0"/>
        <v>14</v>
      </c>
      <c r="B24" s="642" t="s">
        <v>322</v>
      </c>
      <c r="C24" s="643" t="s">
        <v>42</v>
      </c>
      <c r="D24" s="628">
        <f>SAMUI!D24+AMC!D24</f>
        <v>0</v>
      </c>
      <c r="E24" s="628">
        <f>SAMUI!E24+AMC!E24</f>
        <v>0</v>
      </c>
      <c r="F24" s="628">
        <f>SAMUI!F24+AMC!F24</f>
        <v>94</v>
      </c>
      <c r="G24" s="628">
        <f>SAMUI!G24+AMC!G24</f>
        <v>0</v>
      </c>
      <c r="H24" s="628">
        <f>SAMUI!H24+AMC!H24</f>
        <v>94</v>
      </c>
      <c r="I24" s="628">
        <f>SAMUI!I24+AMC!I24</f>
        <v>0</v>
      </c>
      <c r="J24" s="628">
        <f>SAMUI!J24+AMC!J24</f>
        <v>0</v>
      </c>
      <c r="K24" s="628">
        <f>SAMUI!K24+AMC!K24</f>
        <v>0</v>
      </c>
      <c r="L24" s="628">
        <f>SAMUI!L24+AMC!L24</f>
        <v>0</v>
      </c>
      <c r="M24" s="737">
        <f>SAMUI!M24+AMC!M24</f>
        <v>0</v>
      </c>
    </row>
    <row r="25" spans="1:13" s="4" customFormat="1" x14ac:dyDescent="0.2">
      <c r="A25" s="907">
        <f t="shared" si="0"/>
        <v>15</v>
      </c>
      <c r="B25" s="638" t="s">
        <v>43</v>
      </c>
      <c r="C25" s="639" t="s">
        <v>44</v>
      </c>
      <c r="D25" s="634">
        <f>SAMUI!D25+AMC!D25</f>
        <v>0</v>
      </c>
      <c r="E25" s="634">
        <f>SAMUI!E25+AMC!E25</f>
        <v>0</v>
      </c>
      <c r="F25" s="634">
        <f>SAMUI!F25+AMC!F25</f>
        <v>94</v>
      </c>
      <c r="G25" s="634">
        <f>SAMUI!G25+AMC!G25</f>
        <v>0</v>
      </c>
      <c r="H25" s="634">
        <f>SAMUI!H25+AMC!H25</f>
        <v>94</v>
      </c>
      <c r="I25" s="634">
        <f>SAMUI!I25+AMC!I25</f>
        <v>0</v>
      </c>
      <c r="J25" s="634">
        <f>SAMUI!J25+AMC!J25</f>
        <v>0</v>
      </c>
      <c r="K25" s="634">
        <f>SAMUI!K25+AMC!K25</f>
        <v>0</v>
      </c>
      <c r="L25" s="634">
        <f>SAMUI!L25+AMC!L25</f>
        <v>0</v>
      </c>
      <c r="M25" s="910">
        <f>SAMUI!M25+AMC!M25</f>
        <v>0</v>
      </c>
    </row>
    <row r="26" spans="1:13" s="4" customFormat="1" x14ac:dyDescent="0.2">
      <c r="A26" s="738">
        <f t="shared" si="0"/>
        <v>16</v>
      </c>
      <c r="B26" s="637" t="s">
        <v>45</v>
      </c>
      <c r="C26" s="644" t="s">
        <v>46</v>
      </c>
      <c r="D26" s="628">
        <f>SAMUI!D26+AMC!D26</f>
        <v>0</v>
      </c>
      <c r="E26" s="628">
        <f>SAMUI!E26+AMC!E26</f>
        <v>0</v>
      </c>
      <c r="F26" s="628">
        <f>SAMUI!F26+AMC!F26</f>
        <v>300</v>
      </c>
      <c r="G26" s="628">
        <f>SAMUI!G26+AMC!G26</f>
        <v>78</v>
      </c>
      <c r="H26" s="628">
        <f>SAMUI!H26+AMC!H26</f>
        <v>104</v>
      </c>
      <c r="I26" s="628">
        <f>SAMUI!I26+AMC!I26</f>
        <v>118</v>
      </c>
      <c r="J26" s="628">
        <f>SAMUI!J26+AMC!J26</f>
        <v>0</v>
      </c>
      <c r="K26" s="628">
        <f>SAMUI!K26+AMC!K26</f>
        <v>0</v>
      </c>
      <c r="L26" s="628">
        <f>SAMUI!L26+AMC!L26</f>
        <v>0</v>
      </c>
      <c r="M26" s="737">
        <f>SAMUI!M26+AMC!M26</f>
        <v>0</v>
      </c>
    </row>
    <row r="27" spans="1:13" s="4" customFormat="1" x14ac:dyDescent="0.2">
      <c r="A27" s="907">
        <f t="shared" si="0"/>
        <v>17</v>
      </c>
      <c r="B27" s="645" t="s">
        <v>57</v>
      </c>
      <c r="C27" s="646" t="s">
        <v>58</v>
      </c>
      <c r="D27" s="634">
        <f>SAMUI!D27+AMC!D27</f>
        <v>0</v>
      </c>
      <c r="E27" s="634">
        <f>SAMUI!E27+AMC!E27</f>
        <v>0</v>
      </c>
      <c r="F27" s="634">
        <f>SAMUI!F27+AMC!F27</f>
        <v>300</v>
      </c>
      <c r="G27" s="634">
        <f>SAMUI!G27+AMC!G27</f>
        <v>78</v>
      </c>
      <c r="H27" s="634">
        <f>SAMUI!H27+AMC!H27</f>
        <v>104</v>
      </c>
      <c r="I27" s="634">
        <f>SAMUI!I27+AMC!I27</f>
        <v>118</v>
      </c>
      <c r="J27" s="634">
        <f>SAMUI!J27+AMC!J27</f>
        <v>0</v>
      </c>
      <c r="K27" s="634">
        <f>SAMUI!K27+AMC!K27</f>
        <v>0</v>
      </c>
      <c r="L27" s="634">
        <f>SAMUI!L27+AMC!L27</f>
        <v>0</v>
      </c>
      <c r="M27" s="910">
        <f>SAMUI!M27+AMC!M27</f>
        <v>0</v>
      </c>
    </row>
    <row r="28" spans="1:13" s="4" customFormat="1" ht="25.5" x14ac:dyDescent="0.2">
      <c r="A28" s="738">
        <f t="shared" si="0"/>
        <v>18</v>
      </c>
      <c r="B28" s="647" t="s">
        <v>61</v>
      </c>
      <c r="C28" s="648">
        <v>20</v>
      </c>
      <c r="D28" s="628">
        <f>SAMUI!D28+AMC!D28</f>
        <v>0</v>
      </c>
      <c r="E28" s="628">
        <f>SAMUI!E28+AMC!E28</f>
        <v>0</v>
      </c>
      <c r="F28" s="628">
        <f>SAMUI!F28+AMC!F28</f>
        <v>351</v>
      </c>
      <c r="G28" s="628">
        <f>SAMUI!G28+AMC!G28</f>
        <v>294</v>
      </c>
      <c r="H28" s="628">
        <f>SAMUI!H28+AMC!H28</f>
        <v>57</v>
      </c>
      <c r="I28" s="628">
        <f>SAMUI!I28+AMC!I28</f>
        <v>0</v>
      </c>
      <c r="J28" s="628">
        <f>SAMUI!J28+AMC!J28</f>
        <v>0</v>
      </c>
      <c r="K28" s="628">
        <f>SAMUI!K28+AMC!K28</f>
        <v>356.26499999999999</v>
      </c>
      <c r="L28" s="628">
        <f>SAMUI!L28+AMC!L28</f>
        <v>356.26499999999999</v>
      </c>
      <c r="M28" s="737">
        <f>SAMUI!M28+AMC!M28</f>
        <v>357.31799999999998</v>
      </c>
    </row>
    <row r="29" spans="1:13" s="4" customFormat="1" ht="12.75" hidden="1" customHeight="1" x14ac:dyDescent="0.2">
      <c r="A29" s="907">
        <f t="shared" si="0"/>
        <v>19</v>
      </c>
      <c r="B29" s="649" t="s">
        <v>62</v>
      </c>
      <c r="C29" s="650" t="s">
        <v>63</v>
      </c>
      <c r="D29" s="628">
        <f>SAMUI!D29+AMC!D29</f>
        <v>0</v>
      </c>
      <c r="E29" s="628">
        <f>SAMUI!E29+AMC!E29</f>
        <v>0</v>
      </c>
      <c r="F29" s="628">
        <f>SAMUI!F29+AMC!F29</f>
        <v>0</v>
      </c>
      <c r="G29" s="628">
        <f>SAMUI!G29+AMC!G29</f>
        <v>0</v>
      </c>
      <c r="H29" s="628">
        <f>SAMUI!H29+AMC!H29</f>
        <v>0</v>
      </c>
      <c r="I29" s="628">
        <f>SAMUI!I29+AMC!I29</f>
        <v>0</v>
      </c>
      <c r="J29" s="628">
        <f>SAMUI!J29+AMC!J29</f>
        <v>0</v>
      </c>
      <c r="K29" s="628">
        <f>SAMUI!K29+AMC!K29</f>
        <v>0</v>
      </c>
      <c r="L29" s="628">
        <f>SAMUI!L29+AMC!L29</f>
        <v>0</v>
      </c>
      <c r="M29" s="737">
        <f>SAMUI!M29+AMC!M29</f>
        <v>0</v>
      </c>
    </row>
    <row r="30" spans="1:13" s="4" customFormat="1" ht="12.75" hidden="1" customHeight="1" x14ac:dyDescent="0.2">
      <c r="A30" s="738">
        <f t="shared" si="0"/>
        <v>20</v>
      </c>
      <c r="B30" s="645" t="s">
        <v>64</v>
      </c>
      <c r="C30" s="639" t="s">
        <v>65</v>
      </c>
      <c r="D30" s="628">
        <f>SAMUI!D30+AMC!D30</f>
        <v>0</v>
      </c>
      <c r="E30" s="628">
        <f>SAMUI!E30+AMC!E30</f>
        <v>0</v>
      </c>
      <c r="F30" s="628">
        <f>SAMUI!F30+AMC!F30</f>
        <v>0</v>
      </c>
      <c r="G30" s="628">
        <f>SAMUI!G30+AMC!G30</f>
        <v>0</v>
      </c>
      <c r="H30" s="628">
        <f>SAMUI!H30+AMC!H30</f>
        <v>0</v>
      </c>
      <c r="I30" s="628">
        <f>SAMUI!I30+AMC!I30</f>
        <v>0</v>
      </c>
      <c r="J30" s="628">
        <f>SAMUI!J30+AMC!J30</f>
        <v>0</v>
      </c>
      <c r="K30" s="628">
        <f>SAMUI!K30+AMC!K30</f>
        <v>0</v>
      </c>
      <c r="L30" s="628">
        <f>SAMUI!L30+AMC!L30</f>
        <v>0</v>
      </c>
      <c r="M30" s="737">
        <f>SAMUI!M30+AMC!M30</f>
        <v>0</v>
      </c>
    </row>
    <row r="31" spans="1:13" s="4" customFormat="1" ht="12.75" hidden="1" customHeight="1" x14ac:dyDescent="0.2">
      <c r="A31" s="907">
        <f t="shared" si="0"/>
        <v>21</v>
      </c>
      <c r="B31" s="645" t="s">
        <v>68</v>
      </c>
      <c r="C31" s="639" t="s">
        <v>69</v>
      </c>
      <c r="D31" s="628">
        <f>SAMUI!D31+AMC!D31</f>
        <v>0</v>
      </c>
      <c r="E31" s="628">
        <f>SAMUI!E31+AMC!E31</f>
        <v>0</v>
      </c>
      <c r="F31" s="628">
        <f>SAMUI!F31+AMC!F31</f>
        <v>0</v>
      </c>
      <c r="G31" s="628">
        <f>SAMUI!G31+AMC!G31</f>
        <v>0</v>
      </c>
      <c r="H31" s="628">
        <f>SAMUI!H31+AMC!H31</f>
        <v>0</v>
      </c>
      <c r="I31" s="628">
        <f>SAMUI!I31+AMC!I31</f>
        <v>0</v>
      </c>
      <c r="J31" s="628">
        <f>SAMUI!J31+AMC!J31</f>
        <v>0</v>
      </c>
      <c r="K31" s="628">
        <f>SAMUI!K31+AMC!K31</f>
        <v>0</v>
      </c>
      <c r="L31" s="628">
        <f>SAMUI!L31+AMC!L31</f>
        <v>0</v>
      </c>
      <c r="M31" s="737">
        <f>SAMUI!M31+AMC!M31</f>
        <v>0</v>
      </c>
    </row>
    <row r="32" spans="1:13" s="4" customFormat="1" ht="12.75" hidden="1" customHeight="1" x14ac:dyDescent="0.2">
      <c r="A32" s="738">
        <f t="shared" si="0"/>
        <v>22</v>
      </c>
      <c r="B32" s="645" t="s">
        <v>72</v>
      </c>
      <c r="C32" s="639" t="s">
        <v>73</v>
      </c>
      <c r="D32" s="628">
        <f>SAMUI!D32+AMC!D32</f>
        <v>0</v>
      </c>
      <c r="E32" s="628">
        <f>SAMUI!E32+AMC!E32</f>
        <v>0</v>
      </c>
      <c r="F32" s="628">
        <f>SAMUI!F32+AMC!F32</f>
        <v>0</v>
      </c>
      <c r="G32" s="628">
        <f>SAMUI!G32+AMC!G32</f>
        <v>0</v>
      </c>
      <c r="H32" s="628">
        <f>SAMUI!H32+AMC!H32</f>
        <v>0</v>
      </c>
      <c r="I32" s="628">
        <f>SAMUI!I32+AMC!I32</f>
        <v>0</v>
      </c>
      <c r="J32" s="628">
        <f>SAMUI!J32+AMC!J32</f>
        <v>0</v>
      </c>
      <c r="K32" s="628">
        <f>SAMUI!K32+AMC!K32</f>
        <v>0</v>
      </c>
      <c r="L32" s="628">
        <f>SAMUI!L32+AMC!L32</f>
        <v>0</v>
      </c>
      <c r="M32" s="737">
        <f>SAMUI!M32+AMC!M32</f>
        <v>0</v>
      </c>
    </row>
    <row r="33" spans="1:22" s="4" customFormat="1" ht="12.75" hidden="1" customHeight="1" x14ac:dyDescent="0.2">
      <c r="A33" s="907">
        <f t="shared" si="0"/>
        <v>23</v>
      </c>
      <c r="B33" s="645" t="s">
        <v>74</v>
      </c>
      <c r="C33" s="639" t="s">
        <v>75</v>
      </c>
      <c r="D33" s="628">
        <f>SAMUI!D33+AMC!D33</f>
        <v>0</v>
      </c>
      <c r="E33" s="628">
        <f>SAMUI!E33+AMC!E33</f>
        <v>0</v>
      </c>
      <c r="F33" s="628">
        <f>SAMUI!F33+AMC!F33</f>
        <v>0</v>
      </c>
      <c r="G33" s="628">
        <f>SAMUI!G33+AMC!G33</f>
        <v>0</v>
      </c>
      <c r="H33" s="628">
        <f>SAMUI!H33+AMC!H33</f>
        <v>0</v>
      </c>
      <c r="I33" s="628">
        <f>SAMUI!I33+AMC!I33</f>
        <v>0</v>
      </c>
      <c r="J33" s="628">
        <f>SAMUI!J33+AMC!J33</f>
        <v>0</v>
      </c>
      <c r="K33" s="628">
        <f>SAMUI!K33+AMC!K33</f>
        <v>0</v>
      </c>
      <c r="L33" s="628">
        <f>SAMUI!L33+AMC!L33</f>
        <v>0</v>
      </c>
      <c r="M33" s="737">
        <f>SAMUI!M33+AMC!M33</f>
        <v>0</v>
      </c>
    </row>
    <row r="34" spans="1:22" s="4" customFormat="1" ht="12.75" hidden="1" customHeight="1" x14ac:dyDescent="0.2">
      <c r="A34" s="738">
        <f t="shared" si="0"/>
        <v>24</v>
      </c>
      <c r="B34" s="645" t="s">
        <v>76</v>
      </c>
      <c r="C34" s="639" t="s">
        <v>77</v>
      </c>
      <c r="D34" s="628">
        <f>SAMUI!D34+AMC!D34</f>
        <v>0</v>
      </c>
      <c r="E34" s="628">
        <f>SAMUI!E34+AMC!E34</f>
        <v>0</v>
      </c>
      <c r="F34" s="628">
        <f>SAMUI!F34+AMC!F34</f>
        <v>0</v>
      </c>
      <c r="G34" s="628">
        <f>SAMUI!G34+AMC!G34</f>
        <v>0</v>
      </c>
      <c r="H34" s="628">
        <f>SAMUI!H34+AMC!H34</f>
        <v>0</v>
      </c>
      <c r="I34" s="628">
        <f>SAMUI!I34+AMC!I34</f>
        <v>0</v>
      </c>
      <c r="J34" s="628">
        <f>SAMUI!J34+AMC!J34</f>
        <v>0</v>
      </c>
      <c r="K34" s="628">
        <f>SAMUI!K34+AMC!K34</f>
        <v>0</v>
      </c>
      <c r="L34" s="628">
        <f>SAMUI!L34+AMC!L34</f>
        <v>0</v>
      </c>
      <c r="M34" s="737">
        <f>SAMUI!M34+AMC!M34</f>
        <v>0</v>
      </c>
    </row>
    <row r="35" spans="1:22" s="4" customFormat="1" ht="12.75" hidden="1" customHeight="1" x14ac:dyDescent="0.2">
      <c r="A35" s="907">
        <f t="shared" si="0"/>
        <v>25</v>
      </c>
      <c r="B35" s="645" t="s">
        <v>78</v>
      </c>
      <c r="C35" s="639" t="s">
        <v>79</v>
      </c>
      <c r="D35" s="628">
        <f>SAMUI!D35+AMC!D35</f>
        <v>0</v>
      </c>
      <c r="E35" s="628">
        <f>SAMUI!E35+AMC!E35</f>
        <v>0</v>
      </c>
      <c r="F35" s="628">
        <f>SAMUI!F35+AMC!F35</f>
        <v>0</v>
      </c>
      <c r="G35" s="628">
        <f>SAMUI!G35+AMC!G35</f>
        <v>0</v>
      </c>
      <c r="H35" s="628">
        <f>SAMUI!H35+AMC!H35</f>
        <v>0</v>
      </c>
      <c r="I35" s="628">
        <f>SAMUI!I35+AMC!I35</f>
        <v>0</v>
      </c>
      <c r="J35" s="628">
        <f>SAMUI!J35+AMC!J35</f>
        <v>0</v>
      </c>
      <c r="K35" s="628">
        <f>SAMUI!K35+AMC!K35</f>
        <v>0</v>
      </c>
      <c r="L35" s="628">
        <f>SAMUI!L35+AMC!L35</f>
        <v>0</v>
      </c>
      <c r="M35" s="737">
        <f>SAMUI!M35+AMC!M35</f>
        <v>0</v>
      </c>
    </row>
    <row r="36" spans="1:22" s="4" customFormat="1" ht="12.75" hidden="1" customHeight="1" x14ac:dyDescent="0.2">
      <c r="A36" s="738">
        <f t="shared" si="0"/>
        <v>26</v>
      </c>
      <c r="B36" s="645" t="s">
        <v>80</v>
      </c>
      <c r="C36" s="639" t="s">
        <v>81</v>
      </c>
      <c r="D36" s="628">
        <f>SAMUI!D36+AMC!D36</f>
        <v>0</v>
      </c>
      <c r="E36" s="628">
        <f>SAMUI!E36+AMC!E36</f>
        <v>0</v>
      </c>
      <c r="F36" s="628">
        <f>SAMUI!F36+AMC!F36</f>
        <v>0</v>
      </c>
      <c r="G36" s="628">
        <f>SAMUI!G36+AMC!G36</f>
        <v>0</v>
      </c>
      <c r="H36" s="628">
        <f>SAMUI!H36+AMC!H36</f>
        <v>0</v>
      </c>
      <c r="I36" s="628">
        <f>SAMUI!I36+AMC!I36</f>
        <v>0</v>
      </c>
      <c r="J36" s="628">
        <f>SAMUI!J36+AMC!J36</f>
        <v>0</v>
      </c>
      <c r="K36" s="628">
        <f>SAMUI!K36+AMC!K36</f>
        <v>0</v>
      </c>
      <c r="L36" s="628">
        <f>SAMUI!L36+AMC!L36</f>
        <v>0</v>
      </c>
      <c r="M36" s="737">
        <f>SAMUI!M36+AMC!M36</f>
        <v>0</v>
      </c>
    </row>
    <row r="37" spans="1:22" s="4" customFormat="1" ht="12.75" hidden="1" customHeight="1" x14ac:dyDescent="0.2">
      <c r="A37" s="907">
        <f t="shared" si="0"/>
        <v>27</v>
      </c>
      <c r="B37" s="651" t="s">
        <v>83</v>
      </c>
      <c r="C37" s="639" t="s">
        <v>84</v>
      </c>
      <c r="D37" s="628">
        <f>SAMUI!D37+AMC!D37</f>
        <v>0</v>
      </c>
      <c r="E37" s="628">
        <f>SAMUI!E37+AMC!E37</f>
        <v>0</v>
      </c>
      <c r="F37" s="628">
        <f>SAMUI!F37+AMC!F37</f>
        <v>0</v>
      </c>
      <c r="G37" s="628">
        <f>SAMUI!G37+AMC!G37</f>
        <v>0</v>
      </c>
      <c r="H37" s="628">
        <f>SAMUI!H37+AMC!H37</f>
        <v>0</v>
      </c>
      <c r="I37" s="628">
        <f>SAMUI!I37+AMC!I37</f>
        <v>0</v>
      </c>
      <c r="J37" s="628">
        <f>SAMUI!J37+AMC!J37</f>
        <v>0</v>
      </c>
      <c r="K37" s="628">
        <f>SAMUI!K37+AMC!K37</f>
        <v>0</v>
      </c>
      <c r="L37" s="628">
        <f>SAMUI!L37+AMC!L37</f>
        <v>0</v>
      </c>
      <c r="M37" s="737">
        <f>SAMUI!M37+AMC!M37</f>
        <v>0</v>
      </c>
    </row>
    <row r="38" spans="1:22" s="4" customFormat="1" ht="12.75" hidden="1" customHeight="1" x14ac:dyDescent="0.2">
      <c r="A38" s="738">
        <f t="shared" si="0"/>
        <v>28</v>
      </c>
      <c r="B38" s="645" t="s">
        <v>86</v>
      </c>
      <c r="C38" s="639" t="s">
        <v>87</v>
      </c>
      <c r="D38" s="628">
        <f>SAMUI!D38+AMC!D38</f>
        <v>0</v>
      </c>
      <c r="E38" s="628">
        <f>SAMUI!E38+AMC!E38</f>
        <v>0</v>
      </c>
      <c r="F38" s="628">
        <f>SAMUI!F38+AMC!F38</f>
        <v>0</v>
      </c>
      <c r="G38" s="628">
        <f>SAMUI!G38+AMC!G38</f>
        <v>0</v>
      </c>
      <c r="H38" s="628">
        <f>SAMUI!H38+AMC!H38</f>
        <v>0</v>
      </c>
      <c r="I38" s="628">
        <f>SAMUI!I38+AMC!I38</f>
        <v>0</v>
      </c>
      <c r="J38" s="628">
        <f>SAMUI!J38+AMC!J38</f>
        <v>0</v>
      </c>
      <c r="K38" s="628">
        <f>SAMUI!K38+AMC!K38</f>
        <v>0</v>
      </c>
      <c r="L38" s="628">
        <f>SAMUI!L38+AMC!L38</f>
        <v>0</v>
      </c>
      <c r="M38" s="737">
        <f>SAMUI!M38+AMC!M38</f>
        <v>0</v>
      </c>
    </row>
    <row r="39" spans="1:22" s="4" customFormat="1" ht="12.75" hidden="1" customHeight="1" x14ac:dyDescent="0.2">
      <c r="A39" s="907">
        <f t="shared" si="0"/>
        <v>29</v>
      </c>
      <c r="B39" s="637" t="s">
        <v>91</v>
      </c>
      <c r="C39" s="633" t="s">
        <v>92</v>
      </c>
      <c r="D39" s="628">
        <f>SAMUI!D39+AMC!D39</f>
        <v>0</v>
      </c>
      <c r="E39" s="628">
        <f>SAMUI!E39+AMC!E39</f>
        <v>0</v>
      </c>
      <c r="F39" s="628">
        <f>SAMUI!F39+AMC!F39</f>
        <v>0</v>
      </c>
      <c r="G39" s="628">
        <f>SAMUI!G39+AMC!G39</f>
        <v>0</v>
      </c>
      <c r="H39" s="628">
        <f>SAMUI!H39+AMC!H39</f>
        <v>0</v>
      </c>
      <c r="I39" s="628">
        <f>SAMUI!I39+AMC!I39</f>
        <v>0</v>
      </c>
      <c r="J39" s="628">
        <f>SAMUI!J39+AMC!J39</f>
        <v>0</v>
      </c>
      <c r="K39" s="628">
        <f>SAMUI!K39+AMC!K39</f>
        <v>0</v>
      </c>
      <c r="L39" s="628">
        <f>SAMUI!L39+AMC!L39</f>
        <v>0</v>
      </c>
      <c r="M39" s="737">
        <f>SAMUI!M39+AMC!M39</f>
        <v>0</v>
      </c>
    </row>
    <row r="40" spans="1:22" s="4" customFormat="1" ht="12.75" hidden="1" customHeight="1" x14ac:dyDescent="0.2">
      <c r="A40" s="738">
        <f t="shared" si="0"/>
        <v>30</v>
      </c>
      <c r="B40" s="637" t="s">
        <v>309</v>
      </c>
      <c r="C40" s="633" t="s">
        <v>310</v>
      </c>
      <c r="D40" s="628">
        <f>SAMUI!D40+AMC!D40</f>
        <v>0</v>
      </c>
      <c r="E40" s="628">
        <f>SAMUI!E40+AMC!E40</f>
        <v>0</v>
      </c>
      <c r="F40" s="628">
        <f>SAMUI!F40+AMC!F40</f>
        <v>0</v>
      </c>
      <c r="G40" s="628">
        <f>SAMUI!G40+AMC!G40</f>
        <v>0</v>
      </c>
      <c r="H40" s="628">
        <f>SAMUI!H40+AMC!H40</f>
        <v>0</v>
      </c>
      <c r="I40" s="628">
        <f>SAMUI!I40+AMC!I40</f>
        <v>0</v>
      </c>
      <c r="J40" s="628">
        <f>SAMUI!J40+AMC!J40</f>
        <v>0</v>
      </c>
      <c r="K40" s="628">
        <f>SAMUI!K40+AMC!K40</f>
        <v>0</v>
      </c>
      <c r="L40" s="628">
        <f>SAMUI!L40+AMC!L40</f>
        <v>0</v>
      </c>
      <c r="M40" s="737">
        <f>SAMUI!M40+AMC!M40</f>
        <v>0</v>
      </c>
    </row>
    <row r="41" spans="1:22" s="4" customFormat="1" x14ac:dyDescent="0.2">
      <c r="A41" s="907">
        <f t="shared" si="0"/>
        <v>31</v>
      </c>
      <c r="B41" s="637" t="s">
        <v>95</v>
      </c>
      <c r="C41" s="650" t="s">
        <v>96</v>
      </c>
      <c r="D41" s="628">
        <f>SAMUI!D41+AMC!D41</f>
        <v>0</v>
      </c>
      <c r="E41" s="628">
        <f>SAMUI!E41+AMC!E41</f>
        <v>0</v>
      </c>
      <c r="F41" s="628">
        <f>SAMUI!F41+AMC!F41</f>
        <v>287</v>
      </c>
      <c r="G41" s="628">
        <f>SAMUI!G41+AMC!G41</f>
        <v>230</v>
      </c>
      <c r="H41" s="628">
        <f>SAMUI!H41+AMC!H41</f>
        <v>57</v>
      </c>
      <c r="I41" s="628">
        <f>SAMUI!I41+AMC!I41</f>
        <v>0</v>
      </c>
      <c r="J41" s="628">
        <f>SAMUI!J41+AMC!J41</f>
        <v>0</v>
      </c>
      <c r="K41" s="628">
        <f>SAMUI!K41+AMC!K41</f>
        <v>0</v>
      </c>
      <c r="L41" s="628">
        <f>SAMUI!L41+AMC!L41</f>
        <v>0</v>
      </c>
      <c r="M41" s="737">
        <f>SAMUI!M41+AMC!M41</f>
        <v>0</v>
      </c>
      <c r="V41" s="49"/>
    </row>
    <row r="42" spans="1:22" s="4" customFormat="1" x14ac:dyDescent="0.2">
      <c r="A42" s="738">
        <f t="shared" si="0"/>
        <v>32</v>
      </c>
      <c r="B42" s="645" t="s">
        <v>97</v>
      </c>
      <c r="C42" s="646" t="s">
        <v>98</v>
      </c>
      <c r="D42" s="634">
        <f>SAMUI!D42+AMC!D42</f>
        <v>0</v>
      </c>
      <c r="E42" s="634">
        <f>SAMUI!E42+AMC!E42</f>
        <v>0</v>
      </c>
      <c r="F42" s="634">
        <f>SAMUI!F42+AMC!F42</f>
        <v>78</v>
      </c>
      <c r="G42" s="634">
        <f>SAMUI!G42+AMC!G42</f>
        <v>78</v>
      </c>
      <c r="H42" s="634">
        <f>SAMUI!H42+AMC!H42</f>
        <v>0</v>
      </c>
      <c r="I42" s="634">
        <f>SAMUI!I42+AMC!I42</f>
        <v>0</v>
      </c>
      <c r="J42" s="634">
        <f>SAMUI!J42+AMC!J42</f>
        <v>0</v>
      </c>
      <c r="K42" s="634">
        <f>SAMUI!K42+AMC!K42</f>
        <v>0</v>
      </c>
      <c r="L42" s="634">
        <f>SAMUI!L42+AMC!L42</f>
        <v>0</v>
      </c>
      <c r="M42" s="910">
        <f>SAMUI!M42+AMC!M42</f>
        <v>0</v>
      </c>
    </row>
    <row r="43" spans="1:22" s="4" customFormat="1" x14ac:dyDescent="0.2">
      <c r="A43" s="907">
        <f t="shared" si="0"/>
        <v>33</v>
      </c>
      <c r="B43" s="645" t="s">
        <v>99</v>
      </c>
      <c r="C43" s="646" t="s">
        <v>100</v>
      </c>
      <c r="D43" s="634">
        <f>SAMUI!D43+AMC!D43</f>
        <v>0</v>
      </c>
      <c r="E43" s="634">
        <f>SAMUI!E43+AMC!E43</f>
        <v>0</v>
      </c>
      <c r="F43" s="634">
        <f>SAMUI!F43+AMC!F43</f>
        <v>157</v>
      </c>
      <c r="G43" s="634">
        <f>SAMUI!G43+AMC!G43</f>
        <v>100</v>
      </c>
      <c r="H43" s="634">
        <f>SAMUI!H43+AMC!H43</f>
        <v>57</v>
      </c>
      <c r="I43" s="634">
        <f>SAMUI!I43+AMC!I43</f>
        <v>0</v>
      </c>
      <c r="J43" s="634">
        <f>SAMUI!J43+AMC!J43</f>
        <v>0</v>
      </c>
      <c r="K43" s="634">
        <f>SAMUI!K43+AMC!K43</f>
        <v>0</v>
      </c>
      <c r="L43" s="634">
        <f>SAMUI!L43+AMC!L43</f>
        <v>0</v>
      </c>
      <c r="M43" s="910">
        <f>SAMUI!M43+AMC!M43</f>
        <v>0</v>
      </c>
    </row>
    <row r="44" spans="1:22" s="4" customFormat="1" x14ac:dyDescent="0.2">
      <c r="A44" s="738">
        <f t="shared" si="0"/>
        <v>34</v>
      </c>
      <c r="B44" s="645" t="s">
        <v>101</v>
      </c>
      <c r="C44" s="646" t="s">
        <v>102</v>
      </c>
      <c r="D44" s="634">
        <f>SAMUI!D44+AMC!D44</f>
        <v>0</v>
      </c>
      <c r="E44" s="634">
        <f>SAMUI!E44+AMC!E44</f>
        <v>0</v>
      </c>
      <c r="F44" s="634">
        <f>SAMUI!F44+AMC!F44</f>
        <v>52</v>
      </c>
      <c r="G44" s="634">
        <f>SAMUI!G44+AMC!G44</f>
        <v>52</v>
      </c>
      <c r="H44" s="634">
        <f>SAMUI!H44+AMC!H44</f>
        <v>0</v>
      </c>
      <c r="I44" s="634">
        <f>SAMUI!I44+AMC!I44</f>
        <v>0</v>
      </c>
      <c r="J44" s="634">
        <f>SAMUI!J44+AMC!J44</f>
        <v>0</v>
      </c>
      <c r="K44" s="628">
        <f>SAMUI!K44+AMC!K44</f>
        <v>0</v>
      </c>
      <c r="L44" s="628">
        <f>SAMUI!L44+AMC!L44</f>
        <v>0</v>
      </c>
      <c r="M44" s="737">
        <f>SAMUI!M44+AMC!M44</f>
        <v>0</v>
      </c>
    </row>
    <row r="45" spans="1:22" s="4" customFormat="1" x14ac:dyDescent="0.2">
      <c r="A45" s="907">
        <f t="shared" si="0"/>
        <v>35</v>
      </c>
      <c r="B45" s="652" t="s">
        <v>311</v>
      </c>
      <c r="C45" s="653" t="s">
        <v>105</v>
      </c>
      <c r="D45" s="628">
        <f>SAMUI!D45+AMC!D45</f>
        <v>0</v>
      </c>
      <c r="E45" s="628">
        <f>SAMUI!E45+AMC!E45</f>
        <v>0</v>
      </c>
      <c r="F45" s="628">
        <f>SAMUI!F45+AMC!F45</f>
        <v>64</v>
      </c>
      <c r="G45" s="628">
        <f>SAMUI!G45+AMC!G45</f>
        <v>64</v>
      </c>
      <c r="H45" s="628">
        <f>SAMUI!H45+AMC!H45</f>
        <v>0</v>
      </c>
      <c r="I45" s="628">
        <f>SAMUI!I45+AMC!I45</f>
        <v>0</v>
      </c>
      <c r="J45" s="628">
        <f>SAMUI!J45+AMC!J45</f>
        <v>0</v>
      </c>
      <c r="K45" s="628">
        <f>SAMUI!K45+AMC!K45</f>
        <v>0</v>
      </c>
      <c r="L45" s="628">
        <f>SAMUI!L45+AMC!L45</f>
        <v>0</v>
      </c>
      <c r="M45" s="737">
        <f>SAMUI!M45+AMC!M45</f>
        <v>0</v>
      </c>
    </row>
    <row r="46" spans="1:22" s="4" customFormat="1" hidden="1" x14ac:dyDescent="0.2">
      <c r="A46" s="738">
        <f t="shared" si="0"/>
        <v>36</v>
      </c>
      <c r="B46" s="645" t="s">
        <v>106</v>
      </c>
      <c r="C46" s="646" t="s">
        <v>107</v>
      </c>
      <c r="D46" s="628">
        <f>SAMUI!D46+AMC!D46</f>
        <v>0</v>
      </c>
      <c r="E46" s="628">
        <f>SAMUI!E46+AMC!E46</f>
        <v>0</v>
      </c>
      <c r="F46" s="628">
        <f>SAMUI!F46+AMC!F46</f>
        <v>0</v>
      </c>
      <c r="G46" s="628">
        <f>SAMUI!G46+AMC!G46</f>
        <v>0</v>
      </c>
      <c r="H46" s="628">
        <f>SAMUI!H46+AMC!H46</f>
        <v>0</v>
      </c>
      <c r="I46" s="628">
        <f>SAMUI!I46+AMC!I46</f>
        <v>0</v>
      </c>
      <c r="J46" s="628">
        <f>SAMUI!J46+AMC!J46</f>
        <v>0</v>
      </c>
      <c r="K46" s="628">
        <f>SAMUI!K46+AMC!K46</f>
        <v>0</v>
      </c>
      <c r="L46" s="628">
        <f>SAMUI!L46+AMC!L46</f>
        <v>0</v>
      </c>
      <c r="M46" s="737">
        <f>SAMUI!M46+AMC!M46</f>
        <v>0</v>
      </c>
    </row>
    <row r="47" spans="1:22" s="4" customFormat="1" hidden="1" x14ac:dyDescent="0.2">
      <c r="A47" s="907">
        <f t="shared" si="0"/>
        <v>37</v>
      </c>
      <c r="B47" s="645" t="s">
        <v>108</v>
      </c>
      <c r="C47" s="646" t="s">
        <v>109</v>
      </c>
      <c r="D47" s="628">
        <f>SAMUI!D47+AMC!D47</f>
        <v>0</v>
      </c>
      <c r="E47" s="628">
        <f>SAMUI!E47+AMC!E47</f>
        <v>0</v>
      </c>
      <c r="F47" s="628">
        <f>SAMUI!F47+AMC!F47</f>
        <v>0</v>
      </c>
      <c r="G47" s="628">
        <f>SAMUI!G47+AMC!G47</f>
        <v>0</v>
      </c>
      <c r="H47" s="628">
        <f>SAMUI!H47+AMC!H47</f>
        <v>0</v>
      </c>
      <c r="I47" s="628">
        <f>SAMUI!I47+AMC!I47</f>
        <v>0</v>
      </c>
      <c r="J47" s="628">
        <f>SAMUI!J47+AMC!J47</f>
        <v>0</v>
      </c>
      <c r="K47" s="628">
        <f>SAMUI!K47+AMC!K47</f>
        <v>0</v>
      </c>
      <c r="L47" s="628">
        <f>SAMUI!L47+AMC!L47</f>
        <v>0</v>
      </c>
      <c r="M47" s="737">
        <f>SAMUI!M47+AMC!M47</f>
        <v>0</v>
      </c>
    </row>
    <row r="48" spans="1:22" s="4" customFormat="1" x14ac:dyDescent="0.2">
      <c r="A48" s="738">
        <f t="shared" si="0"/>
        <v>38</v>
      </c>
      <c r="B48" s="645" t="s">
        <v>110</v>
      </c>
      <c r="C48" s="646" t="s">
        <v>111</v>
      </c>
      <c r="D48" s="628">
        <f>SAMUI!D48+AMC!D48</f>
        <v>0</v>
      </c>
      <c r="E48" s="628">
        <f>SAMUI!E48+AMC!E48</f>
        <v>0</v>
      </c>
      <c r="F48" s="628">
        <f>SAMUI!F48+AMC!F48</f>
        <v>64</v>
      </c>
      <c r="G48" s="628">
        <f>SAMUI!G48+AMC!G48</f>
        <v>64</v>
      </c>
      <c r="H48" s="628">
        <f>SAMUI!H48+AMC!H48</f>
        <v>0</v>
      </c>
      <c r="I48" s="628">
        <f>SAMUI!I48+AMC!I48</f>
        <v>0</v>
      </c>
      <c r="J48" s="628">
        <f>SAMUI!J48+AMC!J48</f>
        <v>0</v>
      </c>
      <c r="K48" s="628">
        <f>SAMUI!K48+AMC!K48</f>
        <v>0</v>
      </c>
      <c r="L48" s="628">
        <f>SAMUI!L48+AMC!L48</f>
        <v>0</v>
      </c>
      <c r="M48" s="737">
        <f>SAMUI!M48+AMC!M48</f>
        <v>0</v>
      </c>
    </row>
    <row r="49" spans="1:15" s="4" customFormat="1" ht="12.75" hidden="1" customHeight="1" x14ac:dyDescent="0.2">
      <c r="A49" s="907">
        <f t="shared" si="0"/>
        <v>39</v>
      </c>
      <c r="B49" s="654" t="s">
        <v>113</v>
      </c>
      <c r="C49" s="653" t="s">
        <v>114</v>
      </c>
      <c r="D49" s="628">
        <f>SAMUI!D49+AMC!D49</f>
        <v>0</v>
      </c>
      <c r="E49" s="628">
        <f>SAMUI!E49+AMC!E49</f>
        <v>0</v>
      </c>
      <c r="F49" s="628">
        <f>SAMUI!F49+AMC!F49</f>
        <v>0</v>
      </c>
      <c r="G49" s="628">
        <f>SAMUI!G49+AMC!G49</f>
        <v>0</v>
      </c>
      <c r="H49" s="628">
        <f>SAMUI!H49+AMC!H49</f>
        <v>0</v>
      </c>
      <c r="I49" s="628">
        <f>SAMUI!I49+AMC!I49</f>
        <v>0</v>
      </c>
      <c r="J49" s="628">
        <f>SAMUI!J49+AMC!J49</f>
        <v>0</v>
      </c>
      <c r="K49" s="628">
        <f>SAMUI!K49+AMC!K49</f>
        <v>0</v>
      </c>
      <c r="L49" s="628">
        <f>SAMUI!L49+AMC!L49</f>
        <v>0</v>
      </c>
      <c r="M49" s="737">
        <f>SAMUI!M49+AMC!M49</f>
        <v>0</v>
      </c>
    </row>
    <row r="50" spans="1:15" s="4" customFormat="1" ht="12.75" hidden="1" customHeight="1" x14ac:dyDescent="0.2">
      <c r="A50" s="738">
        <f t="shared" si="0"/>
        <v>40</v>
      </c>
      <c r="B50" s="645" t="s">
        <v>115</v>
      </c>
      <c r="C50" s="646" t="s">
        <v>116</v>
      </c>
      <c r="D50" s="628">
        <f>SAMUI!D50+AMC!D50</f>
        <v>0</v>
      </c>
      <c r="E50" s="628">
        <f>SAMUI!E50+AMC!E50</f>
        <v>0</v>
      </c>
      <c r="F50" s="628">
        <f>SAMUI!F50+AMC!F50</f>
        <v>0</v>
      </c>
      <c r="G50" s="628">
        <f>SAMUI!G50+AMC!G50</f>
        <v>0</v>
      </c>
      <c r="H50" s="628">
        <f>SAMUI!H50+AMC!H50</f>
        <v>0</v>
      </c>
      <c r="I50" s="628">
        <f>SAMUI!I50+AMC!I50</f>
        <v>0</v>
      </c>
      <c r="J50" s="628">
        <f>SAMUI!J50+AMC!J50</f>
        <v>0</v>
      </c>
      <c r="K50" s="628">
        <f>SAMUI!K50+AMC!K50</f>
        <v>0</v>
      </c>
      <c r="L50" s="628">
        <f>SAMUI!L50+AMC!L50</f>
        <v>0</v>
      </c>
      <c r="M50" s="737">
        <f>SAMUI!M50+AMC!M50</f>
        <v>0</v>
      </c>
    </row>
    <row r="51" spans="1:15" s="4" customFormat="1" ht="12.75" hidden="1" customHeight="1" x14ac:dyDescent="0.2">
      <c r="A51" s="907">
        <f t="shared" si="0"/>
        <v>41</v>
      </c>
      <c r="B51" s="645" t="s">
        <v>117</v>
      </c>
      <c r="C51" s="646" t="s">
        <v>118</v>
      </c>
      <c r="D51" s="628">
        <f>SAMUI!D51+AMC!D51</f>
        <v>0</v>
      </c>
      <c r="E51" s="628">
        <f>SAMUI!E51+AMC!E51</f>
        <v>0</v>
      </c>
      <c r="F51" s="628">
        <f>SAMUI!F51+AMC!F51</f>
        <v>0</v>
      </c>
      <c r="G51" s="628">
        <f>SAMUI!G51+AMC!G51</f>
        <v>0</v>
      </c>
      <c r="H51" s="628">
        <f>SAMUI!H51+AMC!H51</f>
        <v>0</v>
      </c>
      <c r="I51" s="628">
        <f>SAMUI!I51+AMC!I51</f>
        <v>0</v>
      </c>
      <c r="J51" s="628">
        <f>SAMUI!J51+AMC!J51</f>
        <v>0</v>
      </c>
      <c r="K51" s="628">
        <f>SAMUI!K51+AMC!K51</f>
        <v>0</v>
      </c>
      <c r="L51" s="628">
        <f>SAMUI!L51+AMC!L51</f>
        <v>0</v>
      </c>
      <c r="M51" s="737">
        <f>SAMUI!M51+AMC!M51</f>
        <v>0</v>
      </c>
    </row>
    <row r="52" spans="1:15" s="4" customFormat="1" ht="12.75" hidden="1" customHeight="1" x14ac:dyDescent="0.2">
      <c r="A52" s="738">
        <f t="shared" si="0"/>
        <v>42</v>
      </c>
      <c r="B52" s="637" t="s">
        <v>119</v>
      </c>
      <c r="C52" s="653" t="s">
        <v>120</v>
      </c>
      <c r="D52" s="628">
        <f>SAMUI!D52+AMC!D52</f>
        <v>0</v>
      </c>
      <c r="E52" s="628">
        <f>SAMUI!E52+AMC!E52</f>
        <v>0</v>
      </c>
      <c r="F52" s="628">
        <f>SAMUI!F52+AMC!F52</f>
        <v>0</v>
      </c>
      <c r="G52" s="628">
        <f>SAMUI!G52+AMC!G52</f>
        <v>0</v>
      </c>
      <c r="H52" s="628">
        <f>SAMUI!H52+AMC!H52</f>
        <v>0</v>
      </c>
      <c r="I52" s="628">
        <f>SAMUI!I52+AMC!I52</f>
        <v>0</v>
      </c>
      <c r="J52" s="628">
        <f>SAMUI!J52+AMC!J52</f>
        <v>0</v>
      </c>
      <c r="K52" s="628">
        <f>SAMUI!K52+AMC!K52</f>
        <v>0</v>
      </c>
      <c r="L52" s="628">
        <f>SAMUI!L52+AMC!L52</f>
        <v>0</v>
      </c>
      <c r="M52" s="737">
        <f>SAMUI!M52+AMC!M52</f>
        <v>0</v>
      </c>
    </row>
    <row r="53" spans="1:15" s="4" customFormat="1" ht="12.75" hidden="1" customHeight="1" x14ac:dyDescent="0.2">
      <c r="A53" s="907">
        <f t="shared" si="0"/>
        <v>43</v>
      </c>
      <c r="B53" s="637" t="s">
        <v>121</v>
      </c>
      <c r="C53" s="653" t="s">
        <v>122</v>
      </c>
      <c r="D53" s="628">
        <f>SAMUI!D53+AMC!D53</f>
        <v>0</v>
      </c>
      <c r="E53" s="628">
        <f>SAMUI!E53+AMC!E53</f>
        <v>0</v>
      </c>
      <c r="F53" s="628">
        <f>SAMUI!F53+AMC!F53</f>
        <v>0</v>
      </c>
      <c r="G53" s="628">
        <f>SAMUI!G53+AMC!G53</f>
        <v>0</v>
      </c>
      <c r="H53" s="628">
        <f>SAMUI!H53+AMC!H53</f>
        <v>0</v>
      </c>
      <c r="I53" s="628">
        <f>SAMUI!I53+AMC!I53</f>
        <v>0</v>
      </c>
      <c r="J53" s="628">
        <f>SAMUI!J53+AMC!J53</f>
        <v>0</v>
      </c>
      <c r="K53" s="628">
        <f>SAMUI!K53+AMC!K53</f>
        <v>0</v>
      </c>
      <c r="L53" s="628">
        <f>SAMUI!L53+AMC!L53</f>
        <v>0</v>
      </c>
      <c r="M53" s="737">
        <f>SAMUI!M53+AMC!M53</f>
        <v>0</v>
      </c>
    </row>
    <row r="54" spans="1:15" s="4" customFormat="1" ht="12.75" hidden="1" customHeight="1" x14ac:dyDescent="0.2">
      <c r="A54" s="738">
        <f t="shared" si="0"/>
        <v>44</v>
      </c>
      <c r="B54" s="637" t="s">
        <v>123</v>
      </c>
      <c r="C54" s="653" t="s">
        <v>124</v>
      </c>
      <c r="D54" s="628">
        <f>SAMUI!D54+AMC!D54</f>
        <v>0</v>
      </c>
      <c r="E54" s="628">
        <f>SAMUI!E54+AMC!E54</f>
        <v>0</v>
      </c>
      <c r="F54" s="628">
        <f>SAMUI!F54+AMC!F54</f>
        <v>0</v>
      </c>
      <c r="G54" s="628">
        <f>SAMUI!G54+AMC!G54</f>
        <v>0</v>
      </c>
      <c r="H54" s="628">
        <f>SAMUI!H54+AMC!H54</f>
        <v>0</v>
      </c>
      <c r="I54" s="628">
        <f>SAMUI!I54+AMC!I54</f>
        <v>0</v>
      </c>
      <c r="J54" s="628">
        <f>SAMUI!J54+AMC!J54</f>
        <v>0</v>
      </c>
      <c r="K54" s="628">
        <f>SAMUI!K54+AMC!K54</f>
        <v>0</v>
      </c>
      <c r="L54" s="628">
        <f>SAMUI!L54+AMC!L54</f>
        <v>0</v>
      </c>
      <c r="M54" s="737">
        <f>SAMUI!M54+AMC!M54</f>
        <v>0</v>
      </c>
    </row>
    <row r="55" spans="1:15" s="4" customFormat="1" ht="12.75" hidden="1" customHeight="1" x14ac:dyDescent="0.2">
      <c r="A55" s="907">
        <f t="shared" si="0"/>
        <v>45</v>
      </c>
      <c r="B55" s="637" t="s">
        <v>125</v>
      </c>
      <c r="C55" s="653" t="s">
        <v>126</v>
      </c>
      <c r="D55" s="628">
        <f>SAMUI!D55+AMC!D55</f>
        <v>0</v>
      </c>
      <c r="E55" s="628">
        <f>SAMUI!E55+AMC!E55</f>
        <v>0</v>
      </c>
      <c r="F55" s="628">
        <f>SAMUI!F55+AMC!F55</f>
        <v>0</v>
      </c>
      <c r="G55" s="628">
        <f>SAMUI!G55+AMC!G55</f>
        <v>0</v>
      </c>
      <c r="H55" s="628">
        <f>SAMUI!H55+AMC!H55</f>
        <v>0</v>
      </c>
      <c r="I55" s="628">
        <f>SAMUI!I55+AMC!I55</f>
        <v>0</v>
      </c>
      <c r="J55" s="628">
        <f>SAMUI!J55+AMC!J55</f>
        <v>0</v>
      </c>
      <c r="K55" s="628">
        <f>SAMUI!K55+AMC!K55</f>
        <v>0</v>
      </c>
      <c r="L55" s="628">
        <f>SAMUI!L55+AMC!L55</f>
        <v>0</v>
      </c>
      <c r="M55" s="737">
        <f>SAMUI!M55+AMC!M55</f>
        <v>0</v>
      </c>
    </row>
    <row r="56" spans="1:15" s="4" customFormat="1" hidden="1" x14ac:dyDescent="0.2">
      <c r="A56" s="738">
        <f t="shared" si="0"/>
        <v>46</v>
      </c>
      <c r="B56" s="637" t="s">
        <v>312</v>
      </c>
      <c r="C56" s="653" t="s">
        <v>128</v>
      </c>
      <c r="D56" s="628">
        <f>SAMUI!D56+AMC!D56</f>
        <v>0</v>
      </c>
      <c r="E56" s="628">
        <f>SAMUI!E56+AMC!E56</f>
        <v>0</v>
      </c>
      <c r="F56" s="628">
        <f>SAMUI!F56+AMC!F56</f>
        <v>0</v>
      </c>
      <c r="G56" s="628">
        <f>SAMUI!G56+AMC!G56</f>
        <v>0</v>
      </c>
      <c r="H56" s="628">
        <f>SAMUI!H56+AMC!H56</f>
        <v>0</v>
      </c>
      <c r="I56" s="628">
        <f>SAMUI!I56+AMC!I56</f>
        <v>0</v>
      </c>
      <c r="J56" s="628">
        <f>SAMUI!J56+AMC!J56</f>
        <v>0</v>
      </c>
      <c r="K56" s="628">
        <f>SAMUI!K56+AMC!K56</f>
        <v>0</v>
      </c>
      <c r="L56" s="628">
        <f>SAMUI!L56+AMC!L56</f>
        <v>0</v>
      </c>
      <c r="M56" s="737">
        <f>SAMUI!M56+AMC!M56</f>
        <v>0</v>
      </c>
    </row>
    <row r="57" spans="1:15" s="4" customFormat="1" ht="12.75" hidden="1" customHeight="1" x14ac:dyDescent="0.2">
      <c r="A57" s="907">
        <f t="shared" si="0"/>
        <v>47</v>
      </c>
      <c r="B57" s="645" t="s">
        <v>313</v>
      </c>
      <c r="C57" s="646" t="s">
        <v>132</v>
      </c>
      <c r="D57" s="628">
        <f>SAMUI!D57+AMC!D57</f>
        <v>0</v>
      </c>
      <c r="E57" s="628">
        <f>SAMUI!E57+AMC!E57</f>
        <v>0</v>
      </c>
      <c r="F57" s="628">
        <f>SAMUI!F57+AMC!F57</f>
        <v>0</v>
      </c>
      <c r="G57" s="628">
        <f>SAMUI!G57+AMC!G57</f>
        <v>0</v>
      </c>
      <c r="H57" s="628">
        <f>SAMUI!H57+AMC!H57</f>
        <v>0</v>
      </c>
      <c r="I57" s="628">
        <f>SAMUI!I57+AMC!I57</f>
        <v>0</v>
      </c>
      <c r="J57" s="628">
        <f>SAMUI!J57+AMC!J57</f>
        <v>0</v>
      </c>
      <c r="K57" s="628">
        <f>SAMUI!K57+AMC!K57</f>
        <v>0</v>
      </c>
      <c r="L57" s="628">
        <f>SAMUI!L57+AMC!L57</f>
        <v>0</v>
      </c>
      <c r="M57" s="737">
        <f>SAMUI!M57+AMC!M57</f>
        <v>0</v>
      </c>
    </row>
    <row r="58" spans="1:15" s="135" customFormat="1" hidden="1" x14ac:dyDescent="0.2">
      <c r="A58" s="689">
        <v>107</v>
      </c>
      <c r="B58" s="179" t="s">
        <v>180</v>
      </c>
      <c r="C58" s="660"/>
      <c r="D58" s="631">
        <f>SAMUI!D58+AMC!D63</f>
        <v>0</v>
      </c>
      <c r="E58" s="631">
        <f>SAMUI!E58+AMC!E63</f>
        <v>0</v>
      </c>
      <c r="F58" s="631">
        <f>SAMUI!F58+AMC!F63</f>
        <v>0</v>
      </c>
      <c r="G58" s="631">
        <f>SAMUI!G58+AMC!G63</f>
        <v>0</v>
      </c>
      <c r="H58" s="631">
        <f>SAMUI!H58+AMC!H63</f>
        <v>0</v>
      </c>
      <c r="I58" s="631">
        <f>SAMUI!I58+AMC!I63</f>
        <v>0</v>
      </c>
      <c r="J58" s="631">
        <f>SAMUI!J58+AMC!J63</f>
        <v>0</v>
      </c>
      <c r="K58" s="631">
        <f>SAMUI!K58+AMC!K63</f>
        <v>0</v>
      </c>
      <c r="L58" s="631">
        <f>SAMUI!L58+AMC!L63</f>
        <v>0</v>
      </c>
      <c r="M58" s="909">
        <f>SAMUI!M58+AMC!M63</f>
        <v>0</v>
      </c>
    </row>
    <row r="59" spans="1:15" s="613" customFormat="1" ht="12.75" hidden="1" customHeight="1" x14ac:dyDescent="0.2">
      <c r="A59" s="911">
        <v>121</v>
      </c>
      <c r="B59" s="656" t="s">
        <v>206</v>
      </c>
      <c r="C59" s="657" t="s">
        <v>207</v>
      </c>
      <c r="D59" s="634">
        <f>SAMUI!D59+AMC!D64</f>
        <v>0</v>
      </c>
      <c r="E59" s="634">
        <f>SAMUI!E59+AMC!E64</f>
        <v>0</v>
      </c>
      <c r="F59" s="634">
        <f>SAMUI!F59+AMC!F64</f>
        <v>0</v>
      </c>
      <c r="G59" s="634">
        <f>SAMUI!G59+AMC!G63</f>
        <v>0</v>
      </c>
      <c r="H59" s="634">
        <f>SAMUI!H59+AMC!H64</f>
        <v>0</v>
      </c>
      <c r="I59" s="634">
        <f>SAMUI!I59+AMC!I64</f>
        <v>0</v>
      </c>
      <c r="J59" s="634">
        <f>SAMUI!J59+AMC!J64</f>
        <v>0</v>
      </c>
      <c r="K59" s="634">
        <f>SAMUI!K59+AMC!K63</f>
        <v>0</v>
      </c>
      <c r="L59" s="634">
        <f>SAMUI!L59+AMC!L64</f>
        <v>0</v>
      </c>
      <c r="M59" s="910">
        <f>SAMUI!M59+AMC!M64</f>
        <v>0</v>
      </c>
    </row>
    <row r="60" spans="1:15" s="4" customFormat="1" ht="12.75" hidden="1" customHeight="1" x14ac:dyDescent="0.2">
      <c r="A60" s="907">
        <v>122</v>
      </c>
      <c r="B60" s="637" t="s">
        <v>208</v>
      </c>
      <c r="C60" s="658">
        <v>71</v>
      </c>
      <c r="D60" s="634">
        <f>SAMUI!D60+AMC!D65</f>
        <v>0</v>
      </c>
      <c r="E60" s="634">
        <f>SAMUI!E60+AMC!E65</f>
        <v>0</v>
      </c>
      <c r="F60" s="634">
        <f>SAMUI!F60+AMC!F65</f>
        <v>0</v>
      </c>
      <c r="G60" s="634">
        <f>SAMUI!G60+AMC!G63</f>
        <v>0</v>
      </c>
      <c r="H60" s="634">
        <f>SAMUI!H60+AMC!H65</f>
        <v>0</v>
      </c>
      <c r="I60" s="634">
        <f>SAMUI!I60+AMC!I65</f>
        <v>0</v>
      </c>
      <c r="J60" s="634">
        <f>SAMUI!J60+AMC!J65</f>
        <v>0</v>
      </c>
      <c r="K60" s="634">
        <f>SAMUI!K60+AMC!K63</f>
        <v>0</v>
      </c>
      <c r="L60" s="634">
        <f>SAMUI!L60+AMC!L65</f>
        <v>0</v>
      </c>
      <c r="M60" s="910">
        <f>SAMUI!M60+AMC!M65</f>
        <v>0</v>
      </c>
    </row>
    <row r="61" spans="1:15" s="4" customFormat="1" ht="12.75" hidden="1" customHeight="1" x14ac:dyDescent="0.2">
      <c r="A61" s="907">
        <v>123</v>
      </c>
      <c r="B61" s="637" t="s">
        <v>209</v>
      </c>
      <c r="C61" s="658" t="s">
        <v>210</v>
      </c>
      <c r="D61" s="634">
        <f>SAMUI!D61+AMC!D66</f>
        <v>0</v>
      </c>
      <c r="E61" s="634">
        <f>SAMUI!E61+AMC!E66</f>
        <v>0</v>
      </c>
      <c r="F61" s="634">
        <f>SAMUI!F61+AMC!F66</f>
        <v>0</v>
      </c>
      <c r="G61" s="634">
        <f>SAMUI!G61+AMC!G66</f>
        <v>0</v>
      </c>
      <c r="H61" s="634">
        <f>SAMUI!H61+AMC!H66</f>
        <v>0</v>
      </c>
      <c r="I61" s="634">
        <f>SAMUI!I61+AMC!I66</f>
        <v>0</v>
      </c>
      <c r="J61" s="634">
        <f>SAMUI!J61+AMC!J66</f>
        <v>0</v>
      </c>
      <c r="K61" s="634">
        <f>SAMUI!K61+AMC!K63</f>
        <v>0</v>
      </c>
      <c r="L61" s="634">
        <f>SAMUI!L61+AMC!L66</f>
        <v>0</v>
      </c>
      <c r="M61" s="910">
        <f>SAMUI!M61+AMC!M66</f>
        <v>0</v>
      </c>
    </row>
    <row r="62" spans="1:15" s="4" customFormat="1" ht="13.5" hidden="1" thickBot="1" x14ac:dyDescent="0.25">
      <c r="A62" s="912">
        <v>125</v>
      </c>
      <c r="B62" s="913" t="s">
        <v>213</v>
      </c>
      <c r="C62" s="914" t="s">
        <v>214</v>
      </c>
      <c r="D62" s="792">
        <f>SAMUI!D62+AMC!D67</f>
        <v>0</v>
      </c>
      <c r="E62" s="792">
        <f>SAMUI!E62+AMC!E67</f>
        <v>0</v>
      </c>
      <c r="F62" s="792">
        <f>SAMUI!F62+AMC!F67</f>
        <v>0</v>
      </c>
      <c r="G62" s="792">
        <f>SAMUI!G62+AMC!G67</f>
        <v>0</v>
      </c>
      <c r="H62" s="792">
        <f>SAMUI!H62+AMC!H67</f>
        <v>0</v>
      </c>
      <c r="I62" s="792">
        <f>SAMUI!I62+AMC!I67</f>
        <v>0</v>
      </c>
      <c r="J62" s="792">
        <f>SAMUI!J62+AMC!J67</f>
        <v>0</v>
      </c>
      <c r="K62" s="792">
        <f>SAMUI!K62+AMC!K67</f>
        <v>0</v>
      </c>
      <c r="L62" s="792">
        <f>SAMUI!L62+AMC!L67</f>
        <v>0</v>
      </c>
      <c r="M62" s="915">
        <f>SAMUI!M62+AMC!M67</f>
        <v>0</v>
      </c>
    </row>
    <row r="63" spans="1:15" s="4" customFormat="1" x14ac:dyDescent="0.2">
      <c r="B63" s="151" t="s">
        <v>220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15" s="4" customFormat="1" ht="12.75" customHeight="1" x14ac:dyDescent="0.2">
      <c r="B64" s="151" t="s">
        <v>221</v>
      </c>
      <c r="C64" s="1107" t="s">
        <v>222</v>
      </c>
      <c r="D64" s="1107"/>
      <c r="E64" s="1107"/>
      <c r="F64" s="1107"/>
      <c r="G64" s="152" t="s">
        <v>390</v>
      </c>
      <c r="I64" s="154"/>
      <c r="J64" s="154"/>
      <c r="K64" s="152" t="s">
        <v>224</v>
      </c>
      <c r="O64" s="6"/>
    </row>
    <row r="65" spans="2:15" s="4" customFormat="1" ht="12.75" customHeight="1" x14ac:dyDescent="0.2">
      <c r="B65" s="155" t="s">
        <v>225</v>
      </c>
      <c r="C65" s="1108" t="s">
        <v>392</v>
      </c>
      <c r="D65" s="1108"/>
      <c r="E65" s="1108"/>
      <c r="F65" s="1108"/>
      <c r="G65" s="152" t="s">
        <v>227</v>
      </c>
      <c r="I65" s="156"/>
      <c r="J65" s="156"/>
      <c r="K65" s="1132" t="s">
        <v>388</v>
      </c>
      <c r="L65" s="1132"/>
      <c r="M65" s="1132"/>
      <c r="N65" s="1132"/>
      <c r="O65" s="6"/>
    </row>
    <row r="66" spans="2:15" ht="12.75" customHeight="1" x14ac:dyDescent="0.2">
      <c r="J66" s="305"/>
      <c r="K66" s="152" t="s">
        <v>389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4">
    <mergeCell ref="D9:D10"/>
    <mergeCell ref="E9:E10"/>
    <mergeCell ref="F9:F10"/>
    <mergeCell ref="G9:J9"/>
    <mergeCell ref="K9:M9"/>
    <mergeCell ref="K65:N65"/>
    <mergeCell ref="J1:L1"/>
    <mergeCell ref="B4:M4"/>
    <mergeCell ref="A6:M6"/>
    <mergeCell ref="C7:F7"/>
    <mergeCell ref="B8:L8"/>
    <mergeCell ref="A9:A10"/>
    <mergeCell ref="B9:B10"/>
    <mergeCell ref="C9:C10"/>
  </mergeCells>
  <pageMargins left="0.7" right="0.7" top="0.75" bottom="0.75" header="0.51180555555555551" footer="0.51180555555555551"/>
  <pageSetup scale="79" firstPageNumber="0" orientation="landscape" r:id="rId1"/>
  <headerFooter alignWithMargins="0"/>
  <colBreaks count="1" manualBreakCount="1">
    <brk id="13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BC0E-5BB1-468C-BC09-464510656483}">
  <dimension ref="A1:V102"/>
  <sheetViews>
    <sheetView topLeftCell="A48" workbookViewId="0">
      <selection activeCell="C64" sqref="C64:F6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710937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119"/>
      <c r="K1" s="1119"/>
      <c r="L1" s="1119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118" t="s">
        <v>332</v>
      </c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245"/>
    </row>
    <row r="5" spans="1:14" ht="12.75" customHeight="1" x14ac:dyDescent="0.2">
      <c r="A5" s="4"/>
      <c r="B5" s="4"/>
      <c r="C5" s="49" t="s">
        <v>323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A6" s="1178" t="s">
        <v>324</v>
      </c>
      <c r="B6" s="1178"/>
      <c r="C6" s="1178"/>
      <c r="D6" s="1178"/>
      <c r="E6" s="1178"/>
      <c r="F6" s="1178"/>
      <c r="G6" s="1178"/>
      <c r="H6" s="1178"/>
      <c r="I6" s="1178"/>
      <c r="J6" s="1178"/>
      <c r="K6" s="1178"/>
      <c r="L6" s="1178"/>
      <c r="M6" s="1178"/>
      <c r="N6" s="468"/>
    </row>
    <row r="7" spans="1:14" x14ac:dyDescent="0.2">
      <c r="A7" s="4"/>
      <c r="B7" s="469"/>
      <c r="C7" s="1178"/>
      <c r="D7" s="1178"/>
      <c r="E7" s="1178"/>
      <c r="F7" s="1178"/>
      <c r="G7" s="470"/>
      <c r="H7" s="470"/>
      <c r="I7" s="470"/>
      <c r="J7" s="470"/>
      <c r="K7" s="470"/>
      <c r="L7" s="471"/>
      <c r="M7" s="245"/>
      <c r="N7" s="468"/>
    </row>
    <row r="8" spans="1:14" ht="13.5" thickBot="1" x14ac:dyDescent="0.25">
      <c r="A8" s="4"/>
      <c r="B8" s="1179"/>
      <c r="C8" s="1179"/>
      <c r="D8" s="1179"/>
      <c r="E8" s="1179"/>
      <c r="F8" s="1179"/>
      <c r="G8" s="1179"/>
      <c r="H8" s="1179"/>
      <c r="I8" s="1179"/>
      <c r="J8" s="1179"/>
      <c r="K8" s="1179"/>
      <c r="L8" s="1179"/>
      <c r="M8" s="4" t="s">
        <v>302</v>
      </c>
    </row>
    <row r="9" spans="1:14" s="4" customFormat="1" ht="12.75" customHeight="1" thickBot="1" x14ac:dyDescent="0.25">
      <c r="A9" s="1134" t="s">
        <v>6</v>
      </c>
      <c r="B9" s="1180" t="s">
        <v>7</v>
      </c>
      <c r="C9" s="1182" t="s">
        <v>8</v>
      </c>
      <c r="D9" s="1184" t="s">
        <v>379</v>
      </c>
      <c r="E9" s="1184"/>
      <c r="F9" s="1192" t="s">
        <v>380</v>
      </c>
      <c r="G9" s="1168" t="s">
        <v>12</v>
      </c>
      <c r="H9" s="1168"/>
      <c r="I9" s="1168"/>
      <c r="J9" s="1194"/>
      <c r="K9" s="1190" t="s">
        <v>13</v>
      </c>
      <c r="L9" s="1169"/>
      <c r="M9" s="1131"/>
    </row>
    <row r="10" spans="1:14" s="4" customFormat="1" ht="42.75" customHeight="1" thickBot="1" x14ac:dyDescent="0.25">
      <c r="A10" s="1135"/>
      <c r="B10" s="1181"/>
      <c r="C10" s="1183"/>
      <c r="D10" s="1191"/>
      <c r="E10" s="1191"/>
      <c r="F10" s="1193"/>
      <c r="G10" s="970" t="s">
        <v>14</v>
      </c>
      <c r="H10" s="967" t="s">
        <v>15</v>
      </c>
      <c r="I10" s="967" t="s">
        <v>16</v>
      </c>
      <c r="J10" s="971" t="s">
        <v>17</v>
      </c>
      <c r="K10" s="972">
        <v>2026</v>
      </c>
      <c r="L10" s="433">
        <v>2027</v>
      </c>
      <c r="M10" s="672">
        <v>2028</v>
      </c>
    </row>
    <row r="11" spans="1:14" s="4" customFormat="1" ht="27" customHeight="1" thickBot="1" x14ac:dyDescent="0.25">
      <c r="A11" s="673" t="s">
        <v>18</v>
      </c>
      <c r="B11" s="472" t="s">
        <v>19</v>
      </c>
      <c r="C11" s="473"/>
      <c r="D11" s="669">
        <f>D12+D58</f>
        <v>0</v>
      </c>
      <c r="E11" s="282">
        <f>E12+E58</f>
        <v>0</v>
      </c>
      <c r="F11" s="732">
        <f>G11+H11+I11+J11</f>
        <v>12001</v>
      </c>
      <c r="G11" s="354">
        <f>G12+G58</f>
        <v>3802</v>
      </c>
      <c r="H11" s="354">
        <f t="shared" ref="H11:M11" si="0">H12+H58</f>
        <v>4861</v>
      </c>
      <c r="I11" s="354">
        <f t="shared" si="0"/>
        <v>3304</v>
      </c>
      <c r="J11" s="698">
        <f t="shared" si="0"/>
        <v>34</v>
      </c>
      <c r="K11" s="354">
        <f t="shared" si="0"/>
        <v>12374.405000000001</v>
      </c>
      <c r="L11" s="354">
        <f t="shared" si="0"/>
        <v>12409.355</v>
      </c>
      <c r="M11" s="698">
        <f t="shared" si="0"/>
        <v>12432.707999999999</v>
      </c>
    </row>
    <row r="12" spans="1:14" s="4" customFormat="1" ht="12.75" customHeight="1" thickBot="1" x14ac:dyDescent="0.25">
      <c r="A12" s="675">
        <f t="shared" ref="A12:A57" si="1">A11+1</f>
        <v>2</v>
      </c>
      <c r="B12" s="474" t="s">
        <v>20</v>
      </c>
      <c r="C12" s="475"/>
      <c r="D12" s="523">
        <f>D13</f>
        <v>0</v>
      </c>
      <c r="E12" s="523">
        <f>E13</f>
        <v>0</v>
      </c>
      <c r="F12" s="733">
        <f>G12+H12+I12+J12</f>
        <v>12001</v>
      </c>
      <c r="G12" s="524">
        <f t="shared" ref="G12:M12" si="2">G13</f>
        <v>3802</v>
      </c>
      <c r="H12" s="525">
        <f t="shared" si="2"/>
        <v>4861</v>
      </c>
      <c r="I12" s="525">
        <f t="shared" si="2"/>
        <v>3304</v>
      </c>
      <c r="J12" s="734">
        <f t="shared" si="2"/>
        <v>34</v>
      </c>
      <c r="K12" s="723">
        <f t="shared" si="2"/>
        <v>12374.405000000001</v>
      </c>
      <c r="L12" s="526">
        <f t="shared" si="2"/>
        <v>12409.355</v>
      </c>
      <c r="M12" s="699">
        <f t="shared" si="2"/>
        <v>12432.707999999999</v>
      </c>
    </row>
    <row r="13" spans="1:14" s="4" customFormat="1" ht="13.5" thickBot="1" x14ac:dyDescent="0.25">
      <c r="A13" s="677">
        <f t="shared" si="1"/>
        <v>3</v>
      </c>
      <c r="B13" s="476" t="s">
        <v>21</v>
      </c>
      <c r="C13" s="477" t="s">
        <v>22</v>
      </c>
      <c r="D13" s="32">
        <f t="shared" ref="D13:L13" si="3">D14+D28</f>
        <v>0</v>
      </c>
      <c r="E13" s="32">
        <f t="shared" si="3"/>
        <v>0</v>
      </c>
      <c r="F13" s="732">
        <f t="shared" si="3"/>
        <v>12001</v>
      </c>
      <c r="G13" s="472">
        <f t="shared" si="3"/>
        <v>3802</v>
      </c>
      <c r="H13" s="357">
        <f t="shared" si="3"/>
        <v>4861</v>
      </c>
      <c r="I13" s="357">
        <f t="shared" si="3"/>
        <v>3304</v>
      </c>
      <c r="J13" s="735">
        <f t="shared" si="3"/>
        <v>34</v>
      </c>
      <c r="K13" s="724">
        <f t="shared" si="3"/>
        <v>12374.405000000001</v>
      </c>
      <c r="L13" s="33">
        <f t="shared" si="3"/>
        <v>12409.355</v>
      </c>
      <c r="M13" s="678">
        <f>M14+M28-1</f>
        <v>12432.707999999999</v>
      </c>
    </row>
    <row r="14" spans="1:14" s="4" customFormat="1" ht="25.5" x14ac:dyDescent="0.2">
      <c r="A14" s="679">
        <f t="shared" si="1"/>
        <v>4</v>
      </c>
      <c r="B14" s="478" t="s">
        <v>318</v>
      </c>
      <c r="C14" s="479" t="s">
        <v>24</v>
      </c>
      <c r="D14" s="527">
        <f>D15+D26+D24</f>
        <v>0</v>
      </c>
      <c r="E14" s="527">
        <f>E15+E26+E24</f>
        <v>0</v>
      </c>
      <c r="F14" s="736">
        <f>F15+F26+F24</f>
        <v>11650</v>
      </c>
      <c r="G14" s="628">
        <f>G15+G24+G27</f>
        <v>3508</v>
      </c>
      <c r="H14" s="628">
        <f>H15+H24+H27</f>
        <v>4804</v>
      </c>
      <c r="I14" s="628">
        <f>I15+I24+I27</f>
        <v>3304</v>
      </c>
      <c r="J14" s="737">
        <f>J15+J24+J27</f>
        <v>34</v>
      </c>
      <c r="K14" s="717">
        <f>F14*103.16%</f>
        <v>12018.140000000001</v>
      </c>
      <c r="L14" s="528">
        <f>F14*103.46%</f>
        <v>12053.09</v>
      </c>
      <c r="M14" s="700">
        <f>F14*103.66%</f>
        <v>12076.39</v>
      </c>
    </row>
    <row r="15" spans="1:14" s="4" customFormat="1" x14ac:dyDescent="0.2">
      <c r="A15" s="689">
        <f t="shared" si="1"/>
        <v>5</v>
      </c>
      <c r="B15" s="480" t="s">
        <v>25</v>
      </c>
      <c r="C15" s="481" t="s">
        <v>26</v>
      </c>
      <c r="D15" s="291">
        <f>D16+D17+D18+D20+D21+D22</f>
        <v>0</v>
      </c>
      <c r="E15" s="291">
        <f>E16+E17+E18+E21+E22+E23</f>
        <v>0</v>
      </c>
      <c r="F15" s="736">
        <f>F16+F17+F18+F20+F21+F22+F23</f>
        <v>11256</v>
      </c>
      <c r="G15" s="628">
        <f>G16+G17+G18+G20+G21+G22+G23</f>
        <v>3430</v>
      </c>
      <c r="H15" s="628">
        <f>H16+H17+H18+H20+H21+H22+H23</f>
        <v>4606</v>
      </c>
      <c r="I15" s="628">
        <f>I16+I17+I18+I20+I21+I22+I23</f>
        <v>3186</v>
      </c>
      <c r="J15" s="737">
        <f>J16+J17+J18+J20+J21+J22+J23</f>
        <v>34</v>
      </c>
      <c r="K15" s="718"/>
      <c r="L15" s="530"/>
      <c r="M15" s="701"/>
    </row>
    <row r="16" spans="1:14" s="4" customFormat="1" x14ac:dyDescent="0.2">
      <c r="A16" s="702">
        <f t="shared" si="1"/>
        <v>6</v>
      </c>
      <c r="B16" s="482" t="s">
        <v>319</v>
      </c>
      <c r="C16" s="483" t="s">
        <v>28</v>
      </c>
      <c r="D16" s="294">
        <v>0</v>
      </c>
      <c r="E16" s="294">
        <v>0</v>
      </c>
      <c r="F16" s="738">
        <f>G16+H16+I16+J16</f>
        <v>9320</v>
      </c>
      <c r="G16" s="722">
        <v>2825</v>
      </c>
      <c r="H16" s="722">
        <v>3831</v>
      </c>
      <c r="I16" s="722">
        <f>3071-407</f>
        <v>2664</v>
      </c>
      <c r="J16" s="739">
        <v>0</v>
      </c>
      <c r="K16" s="719"/>
      <c r="L16" s="534"/>
      <c r="M16" s="703"/>
    </row>
    <row r="17" spans="1:13" s="4" customFormat="1" x14ac:dyDescent="0.2">
      <c r="A17" s="689">
        <f t="shared" si="1"/>
        <v>7</v>
      </c>
      <c r="B17" s="482" t="s">
        <v>304</v>
      </c>
      <c r="C17" s="483" t="s">
        <v>30</v>
      </c>
      <c r="D17" s="294">
        <v>0</v>
      </c>
      <c r="E17" s="294">
        <v>0</v>
      </c>
      <c r="F17" s="738">
        <f>G17+H17+I17+J17</f>
        <v>1040</v>
      </c>
      <c r="G17" s="722">
        <v>322</v>
      </c>
      <c r="H17" s="722">
        <v>451</v>
      </c>
      <c r="I17" s="722">
        <f>186+81</f>
        <v>267</v>
      </c>
      <c r="J17" s="739">
        <v>0</v>
      </c>
      <c r="K17" s="719"/>
      <c r="L17" s="534"/>
      <c r="M17" s="703"/>
    </row>
    <row r="18" spans="1:13" s="4" customFormat="1" x14ac:dyDescent="0.2">
      <c r="A18" s="702">
        <f t="shared" si="1"/>
        <v>8</v>
      </c>
      <c r="B18" s="482" t="s">
        <v>320</v>
      </c>
      <c r="C18" s="483" t="s">
        <v>32</v>
      </c>
      <c r="D18" s="294">
        <v>0</v>
      </c>
      <c r="E18" s="294">
        <v>0</v>
      </c>
      <c r="F18" s="738">
        <f>G18+H18+I18+J18</f>
        <v>16</v>
      </c>
      <c r="G18" s="722">
        <v>5</v>
      </c>
      <c r="H18" s="722">
        <v>5</v>
      </c>
      <c r="I18" s="722">
        <f>4+2</f>
        <v>6</v>
      </c>
      <c r="J18" s="739">
        <v>0</v>
      </c>
      <c r="K18" s="719"/>
      <c r="L18" s="534"/>
      <c r="M18" s="703"/>
    </row>
    <row r="19" spans="1:13" s="4" customFormat="1" hidden="1" x14ac:dyDescent="0.2">
      <c r="A19" s="689">
        <f t="shared" si="1"/>
        <v>9</v>
      </c>
      <c r="B19" s="320" t="s">
        <v>305</v>
      </c>
      <c r="C19" s="484" t="s">
        <v>34</v>
      </c>
      <c r="D19" s="294"/>
      <c r="E19" s="294"/>
      <c r="F19" s="738"/>
      <c r="G19" s="722"/>
      <c r="H19" s="722"/>
      <c r="I19" s="722"/>
      <c r="J19" s="739"/>
      <c r="K19" s="719"/>
      <c r="L19" s="534"/>
      <c r="M19" s="703"/>
    </row>
    <row r="20" spans="1:13" s="4" customFormat="1" hidden="1" x14ac:dyDescent="0.2">
      <c r="A20" s="702">
        <f t="shared" si="1"/>
        <v>10</v>
      </c>
      <c r="B20" s="482" t="s">
        <v>321</v>
      </c>
      <c r="C20" s="483" t="s">
        <v>36</v>
      </c>
      <c r="D20" s="294"/>
      <c r="E20" s="294"/>
      <c r="F20" s="738">
        <f t="shared" ref="F20:F29" si="4">G20+H20+I20+J20</f>
        <v>0</v>
      </c>
      <c r="G20" s="722"/>
      <c r="H20" s="722"/>
      <c r="I20" s="722"/>
      <c r="J20" s="739"/>
      <c r="K20" s="719"/>
      <c r="L20" s="534"/>
      <c r="M20" s="703"/>
    </row>
    <row r="21" spans="1:13" s="4" customFormat="1" hidden="1" x14ac:dyDescent="0.2">
      <c r="A21" s="689">
        <f t="shared" si="1"/>
        <v>11</v>
      </c>
      <c r="B21" s="482" t="s">
        <v>306</v>
      </c>
      <c r="C21" s="483" t="s">
        <v>307</v>
      </c>
      <c r="D21" s="294"/>
      <c r="E21" s="294"/>
      <c r="F21" s="738">
        <f t="shared" si="4"/>
        <v>0</v>
      </c>
      <c r="G21" s="722">
        <v>0</v>
      </c>
      <c r="H21" s="722">
        <v>0</v>
      </c>
      <c r="I21" s="722">
        <v>0</v>
      </c>
      <c r="J21" s="739">
        <v>0</v>
      </c>
      <c r="K21" s="719"/>
      <c r="L21" s="534"/>
      <c r="M21" s="703"/>
    </row>
    <row r="22" spans="1:13" s="4" customFormat="1" x14ac:dyDescent="0.2">
      <c r="A22" s="702">
        <f t="shared" si="1"/>
        <v>12</v>
      </c>
      <c r="B22" s="482" t="s">
        <v>37</v>
      </c>
      <c r="C22" s="483" t="s">
        <v>38</v>
      </c>
      <c r="D22" s="294">
        <v>0</v>
      </c>
      <c r="E22" s="294">
        <v>0</v>
      </c>
      <c r="F22" s="738">
        <f t="shared" si="4"/>
        <v>370</v>
      </c>
      <c r="G22" s="722">
        <v>126</v>
      </c>
      <c r="H22" s="722">
        <v>157</v>
      </c>
      <c r="I22" s="722">
        <f>55+32</f>
        <v>87</v>
      </c>
      <c r="J22" s="739">
        <v>0</v>
      </c>
      <c r="K22" s="719"/>
      <c r="L22" s="534"/>
      <c r="M22" s="703"/>
    </row>
    <row r="23" spans="1:13" s="4" customFormat="1" x14ac:dyDescent="0.2">
      <c r="A23" s="689">
        <f t="shared" si="1"/>
        <v>13</v>
      </c>
      <c r="B23" s="183" t="s">
        <v>39</v>
      </c>
      <c r="C23" s="485" t="s">
        <v>40</v>
      </c>
      <c r="D23" s="294">
        <v>0</v>
      </c>
      <c r="E23" s="294">
        <v>0</v>
      </c>
      <c r="F23" s="740">
        <f t="shared" si="4"/>
        <v>510</v>
      </c>
      <c r="G23" s="720">
        <v>152</v>
      </c>
      <c r="H23" s="721">
        <v>162</v>
      </c>
      <c r="I23" s="721">
        <v>162</v>
      </c>
      <c r="J23" s="741">
        <f>104-70</f>
        <v>34</v>
      </c>
      <c r="K23" s="719"/>
      <c r="L23" s="534"/>
      <c r="M23" s="703"/>
    </row>
    <row r="24" spans="1:13" s="4" customFormat="1" x14ac:dyDescent="0.2">
      <c r="A24" s="702">
        <f t="shared" si="1"/>
        <v>14</v>
      </c>
      <c r="B24" s="482" t="s">
        <v>322</v>
      </c>
      <c r="C24" s="639" t="s">
        <v>42</v>
      </c>
      <c r="D24" s="947">
        <f>D25</f>
        <v>0</v>
      </c>
      <c r="E24" s="291">
        <f>E25</f>
        <v>0</v>
      </c>
      <c r="F24" s="742">
        <f t="shared" si="4"/>
        <v>94</v>
      </c>
      <c r="G24" s="531">
        <f>G25</f>
        <v>0</v>
      </c>
      <c r="H24" s="531">
        <f>H25</f>
        <v>94</v>
      </c>
      <c r="I24" s="532">
        <f>I25</f>
        <v>0</v>
      </c>
      <c r="J24" s="743">
        <f>J25</f>
        <v>0</v>
      </c>
      <c r="K24" s="719"/>
      <c r="L24" s="534"/>
      <c r="M24" s="703"/>
    </row>
    <row r="25" spans="1:13" s="4" customFormat="1" x14ac:dyDescent="0.2">
      <c r="A25" s="689">
        <f t="shared" si="1"/>
        <v>15</v>
      </c>
      <c r="B25" s="482" t="s">
        <v>43</v>
      </c>
      <c r="C25" s="948" t="s">
        <v>44</v>
      </c>
      <c r="D25" s="291">
        <v>0</v>
      </c>
      <c r="E25" s="294">
        <v>0</v>
      </c>
      <c r="F25" s="742">
        <f t="shared" si="4"/>
        <v>94</v>
      </c>
      <c r="G25" s="531">
        <v>0</v>
      </c>
      <c r="H25" s="532">
        <f>178-84</f>
        <v>94</v>
      </c>
      <c r="I25" s="532">
        <v>0</v>
      </c>
      <c r="J25" s="743">
        <v>0</v>
      </c>
      <c r="K25" s="719"/>
      <c r="L25" s="534"/>
      <c r="M25" s="703"/>
    </row>
    <row r="26" spans="1:13" s="4" customFormat="1" x14ac:dyDescent="0.2">
      <c r="A26" s="702">
        <f t="shared" si="1"/>
        <v>16</v>
      </c>
      <c r="B26" s="480" t="s">
        <v>45</v>
      </c>
      <c r="C26" s="486" t="s">
        <v>46</v>
      </c>
      <c r="D26" s="291">
        <f>D27</f>
        <v>0</v>
      </c>
      <c r="E26" s="291">
        <f>E27</f>
        <v>0</v>
      </c>
      <c r="F26" s="744">
        <f t="shared" si="4"/>
        <v>300</v>
      </c>
      <c r="G26" s="536">
        <f>G27</f>
        <v>78</v>
      </c>
      <c r="H26" s="537">
        <f>H27</f>
        <v>104</v>
      </c>
      <c r="I26" s="537">
        <f>I27</f>
        <v>118</v>
      </c>
      <c r="J26" s="745">
        <f>J27</f>
        <v>0</v>
      </c>
      <c r="K26" s="718"/>
      <c r="L26" s="530"/>
      <c r="M26" s="701"/>
    </row>
    <row r="27" spans="1:13" s="4" customFormat="1" x14ac:dyDescent="0.2">
      <c r="A27" s="689">
        <f t="shared" si="1"/>
        <v>17</v>
      </c>
      <c r="B27" s="487" t="s">
        <v>57</v>
      </c>
      <c r="C27" s="488" t="s">
        <v>58</v>
      </c>
      <c r="D27" s="294">
        <v>0</v>
      </c>
      <c r="E27" s="294">
        <v>0</v>
      </c>
      <c r="F27" s="742">
        <f t="shared" si="4"/>
        <v>300</v>
      </c>
      <c r="G27" s="531">
        <v>78</v>
      </c>
      <c r="H27" s="532">
        <v>104</v>
      </c>
      <c r="I27" s="532">
        <f>75+43</f>
        <v>118</v>
      </c>
      <c r="J27" s="743">
        <v>0</v>
      </c>
      <c r="K27" s="719"/>
      <c r="L27" s="534"/>
      <c r="M27" s="703"/>
    </row>
    <row r="28" spans="1:13" s="4" customFormat="1" ht="25.5" x14ac:dyDescent="0.2">
      <c r="A28" s="702">
        <f t="shared" si="1"/>
        <v>18</v>
      </c>
      <c r="B28" s="489" t="s">
        <v>61</v>
      </c>
      <c r="C28" s="490">
        <v>20</v>
      </c>
      <c r="D28" s="535">
        <f>D29+D39+D40+D41+D45</f>
        <v>0</v>
      </c>
      <c r="E28" s="291">
        <f>E29+E39+E40+E41+E45</f>
        <v>0</v>
      </c>
      <c r="F28" s="744">
        <f t="shared" si="4"/>
        <v>351</v>
      </c>
      <c r="G28" s="536">
        <f>G29+G39+G40+G41+G45+G49+G52+G53+G54+G56</f>
        <v>294</v>
      </c>
      <c r="H28" s="537">
        <f>H29+H39+H40+H41+H45+H49+H52+H53+H54+H56</f>
        <v>57</v>
      </c>
      <c r="I28" s="537">
        <f>I29+I39+I40+I41+I45+I49+I52+I53+I54+I56</f>
        <v>0</v>
      </c>
      <c r="J28" s="745">
        <f>J29+J39+J40+J41+J45+J49+J52+J53+J54+J56</f>
        <v>0</v>
      </c>
      <c r="K28" s="718">
        <f>F28*101.5%</f>
        <v>356.26499999999999</v>
      </c>
      <c r="L28" s="530">
        <f>F28*101.5%</f>
        <v>356.26499999999999</v>
      </c>
      <c r="M28" s="701">
        <f>F28*101.8%</f>
        <v>357.31799999999998</v>
      </c>
    </row>
    <row r="29" spans="1:13" s="4" customFormat="1" ht="12.75" hidden="1" customHeight="1" x14ac:dyDescent="0.2">
      <c r="A29" s="689">
        <f t="shared" si="1"/>
        <v>19</v>
      </c>
      <c r="B29" s="491" t="s">
        <v>62</v>
      </c>
      <c r="C29" s="492" t="s">
        <v>63</v>
      </c>
      <c r="D29" s="406">
        <f>D30</f>
        <v>0</v>
      </c>
      <c r="E29" s="406">
        <f>E30</f>
        <v>0</v>
      </c>
      <c r="F29" s="744">
        <f t="shared" si="4"/>
        <v>0</v>
      </c>
      <c r="G29" s="536">
        <f>G30+G31+G32+G33+G34+G35+G36+G37+G38</f>
        <v>0</v>
      </c>
      <c r="H29" s="537">
        <f>H30+H31+H32+H33+H34+H35+H36+H37+H38</f>
        <v>0</v>
      </c>
      <c r="I29" s="537">
        <f>I30+I31+I32+I33+I34+I35+I36+I37+I38</f>
        <v>0</v>
      </c>
      <c r="J29" s="745">
        <f>J30+J31+J32+J33+J34+J35+J36+J37+J38</f>
        <v>0</v>
      </c>
      <c r="K29" s="718"/>
      <c r="L29" s="530"/>
      <c r="M29" s="701"/>
    </row>
    <row r="30" spans="1:13" s="4" customFormat="1" ht="12.75" hidden="1" customHeight="1" x14ac:dyDescent="0.2">
      <c r="A30" s="702">
        <f t="shared" si="1"/>
        <v>20</v>
      </c>
      <c r="B30" s="487" t="s">
        <v>64</v>
      </c>
      <c r="C30" s="483" t="s">
        <v>65</v>
      </c>
      <c r="D30" s="291"/>
      <c r="E30" s="291"/>
      <c r="F30" s="742"/>
      <c r="G30" s="531"/>
      <c r="H30" s="532"/>
      <c r="I30" s="532"/>
      <c r="J30" s="743"/>
      <c r="K30" s="719"/>
      <c r="L30" s="534"/>
      <c r="M30" s="703"/>
    </row>
    <row r="31" spans="1:13" s="4" customFormat="1" ht="12.75" hidden="1" customHeight="1" x14ac:dyDescent="0.2">
      <c r="A31" s="689">
        <f t="shared" si="1"/>
        <v>21</v>
      </c>
      <c r="B31" s="487" t="s">
        <v>68</v>
      </c>
      <c r="C31" s="483" t="s">
        <v>69</v>
      </c>
      <c r="D31" s="291"/>
      <c r="E31" s="291"/>
      <c r="F31" s="742"/>
      <c r="G31" s="531"/>
      <c r="H31" s="532"/>
      <c r="I31" s="532"/>
      <c r="J31" s="743"/>
      <c r="K31" s="719"/>
      <c r="L31" s="534"/>
      <c r="M31" s="703"/>
    </row>
    <row r="32" spans="1:13" s="4" customFormat="1" ht="12.75" hidden="1" customHeight="1" x14ac:dyDescent="0.2">
      <c r="A32" s="702">
        <f t="shared" si="1"/>
        <v>22</v>
      </c>
      <c r="B32" s="487" t="s">
        <v>72</v>
      </c>
      <c r="C32" s="483" t="s">
        <v>73</v>
      </c>
      <c r="D32" s="291"/>
      <c r="E32" s="291"/>
      <c r="F32" s="742"/>
      <c r="G32" s="531"/>
      <c r="H32" s="532"/>
      <c r="I32" s="532"/>
      <c r="J32" s="743"/>
      <c r="K32" s="719"/>
      <c r="L32" s="534"/>
      <c r="M32" s="703"/>
    </row>
    <row r="33" spans="1:22" s="4" customFormat="1" ht="12.75" hidden="1" customHeight="1" x14ac:dyDescent="0.2">
      <c r="A33" s="689">
        <f t="shared" si="1"/>
        <v>23</v>
      </c>
      <c r="B33" s="487" t="s">
        <v>74</v>
      </c>
      <c r="C33" s="483" t="s">
        <v>75</v>
      </c>
      <c r="D33" s="291"/>
      <c r="E33" s="291"/>
      <c r="F33" s="742"/>
      <c r="G33" s="531"/>
      <c r="H33" s="532"/>
      <c r="I33" s="532"/>
      <c r="J33" s="743"/>
      <c r="K33" s="719"/>
      <c r="L33" s="534"/>
      <c r="M33" s="703"/>
    </row>
    <row r="34" spans="1:22" s="4" customFormat="1" ht="12.75" hidden="1" customHeight="1" x14ac:dyDescent="0.2">
      <c r="A34" s="702">
        <f t="shared" si="1"/>
        <v>24</v>
      </c>
      <c r="B34" s="487" t="s">
        <v>76</v>
      </c>
      <c r="C34" s="483" t="s">
        <v>77</v>
      </c>
      <c r="D34" s="291"/>
      <c r="E34" s="291"/>
      <c r="F34" s="742"/>
      <c r="G34" s="531"/>
      <c r="H34" s="532"/>
      <c r="I34" s="532"/>
      <c r="J34" s="743"/>
      <c r="K34" s="719"/>
      <c r="L34" s="534"/>
      <c r="M34" s="703"/>
    </row>
    <row r="35" spans="1:22" s="4" customFormat="1" ht="12.75" hidden="1" customHeight="1" x14ac:dyDescent="0.2">
      <c r="A35" s="689">
        <f t="shared" si="1"/>
        <v>25</v>
      </c>
      <c r="B35" s="487" t="s">
        <v>78</v>
      </c>
      <c r="C35" s="483" t="s">
        <v>79</v>
      </c>
      <c r="D35" s="291"/>
      <c r="E35" s="291"/>
      <c r="F35" s="742"/>
      <c r="G35" s="531"/>
      <c r="H35" s="532"/>
      <c r="I35" s="532"/>
      <c r="J35" s="743"/>
      <c r="K35" s="719"/>
      <c r="L35" s="534"/>
      <c r="M35" s="703"/>
    </row>
    <row r="36" spans="1:22" s="4" customFormat="1" ht="12.75" hidden="1" customHeight="1" x14ac:dyDescent="0.2">
      <c r="A36" s="702">
        <f t="shared" si="1"/>
        <v>26</v>
      </c>
      <c r="B36" s="487" t="s">
        <v>80</v>
      </c>
      <c r="C36" s="483" t="s">
        <v>81</v>
      </c>
      <c r="D36" s="291"/>
      <c r="E36" s="291"/>
      <c r="F36" s="742"/>
      <c r="G36" s="531"/>
      <c r="H36" s="532"/>
      <c r="I36" s="532"/>
      <c r="J36" s="743"/>
      <c r="K36" s="719"/>
      <c r="L36" s="534"/>
      <c r="M36" s="703"/>
    </row>
    <row r="37" spans="1:22" s="4" customFormat="1" ht="12.75" hidden="1" customHeight="1" x14ac:dyDescent="0.2">
      <c r="A37" s="689">
        <f t="shared" si="1"/>
        <v>27</v>
      </c>
      <c r="B37" s="493" t="s">
        <v>83</v>
      </c>
      <c r="C37" s="483" t="s">
        <v>84</v>
      </c>
      <c r="D37" s="291"/>
      <c r="E37" s="291"/>
      <c r="F37" s="742"/>
      <c r="G37" s="531"/>
      <c r="H37" s="532"/>
      <c r="I37" s="532"/>
      <c r="J37" s="743"/>
      <c r="K37" s="719"/>
      <c r="L37" s="534"/>
      <c r="M37" s="703"/>
    </row>
    <row r="38" spans="1:22" s="4" customFormat="1" ht="12.75" hidden="1" customHeight="1" x14ac:dyDescent="0.2">
      <c r="A38" s="702">
        <f t="shared" si="1"/>
        <v>28</v>
      </c>
      <c r="B38" s="487" t="s">
        <v>86</v>
      </c>
      <c r="C38" s="483" t="s">
        <v>87</v>
      </c>
      <c r="D38" s="291"/>
      <c r="E38" s="291"/>
      <c r="F38" s="742"/>
      <c r="G38" s="531"/>
      <c r="H38" s="532"/>
      <c r="I38" s="532"/>
      <c r="J38" s="743"/>
      <c r="K38" s="719"/>
      <c r="L38" s="534"/>
      <c r="M38" s="703"/>
    </row>
    <row r="39" spans="1:22" s="4" customFormat="1" ht="12.75" hidden="1" customHeight="1" x14ac:dyDescent="0.2">
      <c r="A39" s="689">
        <f t="shared" si="1"/>
        <v>29</v>
      </c>
      <c r="B39" s="480" t="s">
        <v>91</v>
      </c>
      <c r="C39" s="494" t="s">
        <v>92</v>
      </c>
      <c r="D39" s="291"/>
      <c r="E39" s="291"/>
      <c r="F39" s="744"/>
      <c r="G39" s="536"/>
      <c r="H39" s="537"/>
      <c r="I39" s="537"/>
      <c r="J39" s="745"/>
      <c r="K39" s="718"/>
      <c r="L39" s="530"/>
      <c r="M39" s="701"/>
    </row>
    <row r="40" spans="1:22" s="4" customFormat="1" ht="12.75" hidden="1" customHeight="1" x14ac:dyDescent="0.2">
      <c r="A40" s="702">
        <f t="shared" si="1"/>
        <v>30</v>
      </c>
      <c r="B40" s="480" t="s">
        <v>309</v>
      </c>
      <c r="C40" s="494" t="s">
        <v>310</v>
      </c>
      <c r="D40" s="406"/>
      <c r="E40" s="406"/>
      <c r="F40" s="744"/>
      <c r="G40" s="536"/>
      <c r="H40" s="537"/>
      <c r="I40" s="537"/>
      <c r="J40" s="745"/>
      <c r="K40" s="718"/>
      <c r="L40" s="530"/>
      <c r="M40" s="701"/>
    </row>
    <row r="41" spans="1:22" s="4" customFormat="1" x14ac:dyDescent="0.2">
      <c r="A41" s="689">
        <f t="shared" si="1"/>
        <v>31</v>
      </c>
      <c r="B41" s="480" t="s">
        <v>95</v>
      </c>
      <c r="C41" s="492" t="s">
        <v>96</v>
      </c>
      <c r="D41" s="539">
        <f>D42+D43+D44</f>
        <v>0</v>
      </c>
      <c r="E41" s="539">
        <f>E42+E43+E44</f>
        <v>0</v>
      </c>
      <c r="F41" s="744">
        <f>G41+H41+I41+J41</f>
        <v>287</v>
      </c>
      <c r="G41" s="536">
        <f>G42+G43+G44</f>
        <v>230</v>
      </c>
      <c r="H41" s="537">
        <f>H42+H43+H44</f>
        <v>57</v>
      </c>
      <c r="I41" s="537">
        <f>I42+I43+I44</f>
        <v>0</v>
      </c>
      <c r="J41" s="745">
        <f>J42+J43+J44</f>
        <v>0</v>
      </c>
      <c r="K41" s="718"/>
      <c r="L41" s="530"/>
      <c r="M41" s="701"/>
      <c r="V41" s="49"/>
    </row>
    <row r="42" spans="1:22" s="4" customFormat="1" x14ac:dyDescent="0.2">
      <c r="A42" s="702">
        <f t="shared" si="1"/>
        <v>32</v>
      </c>
      <c r="B42" s="487" t="s">
        <v>97</v>
      </c>
      <c r="C42" s="488" t="s">
        <v>98</v>
      </c>
      <c r="D42" s="540">
        <v>0</v>
      </c>
      <c r="E42" s="540">
        <v>0</v>
      </c>
      <c r="F42" s="742">
        <f>G42+H42+I42+J42</f>
        <v>78</v>
      </c>
      <c r="G42" s="531">
        <v>78</v>
      </c>
      <c r="H42" s="532">
        <v>0</v>
      </c>
      <c r="I42" s="532">
        <v>0</v>
      </c>
      <c r="J42" s="743">
        <v>0</v>
      </c>
      <c r="K42" s="719"/>
      <c r="L42" s="534"/>
      <c r="M42" s="703"/>
    </row>
    <row r="43" spans="1:22" s="4" customFormat="1" x14ac:dyDescent="0.2">
      <c r="A43" s="689">
        <f t="shared" si="1"/>
        <v>33</v>
      </c>
      <c r="B43" s="487" t="s">
        <v>99</v>
      </c>
      <c r="C43" s="488" t="s">
        <v>100</v>
      </c>
      <c r="D43" s="540">
        <v>0</v>
      </c>
      <c r="E43" s="540">
        <v>0</v>
      </c>
      <c r="F43" s="742">
        <f>G43+H43+I43+J43</f>
        <v>157</v>
      </c>
      <c r="G43" s="531">
        <v>100</v>
      </c>
      <c r="H43" s="532">
        <v>57</v>
      </c>
      <c r="I43" s="532">
        <v>0</v>
      </c>
      <c r="J43" s="743">
        <v>0</v>
      </c>
      <c r="K43" s="719"/>
      <c r="L43" s="534"/>
      <c r="M43" s="703"/>
    </row>
    <row r="44" spans="1:22" s="4" customFormat="1" ht="13.5" thickBot="1" x14ac:dyDescent="0.25">
      <c r="A44" s="702">
        <f t="shared" si="1"/>
        <v>34</v>
      </c>
      <c r="B44" s="495" t="s">
        <v>101</v>
      </c>
      <c r="C44" s="496" t="s">
        <v>102</v>
      </c>
      <c r="D44" s="497">
        <v>0</v>
      </c>
      <c r="E44" s="497">
        <v>0</v>
      </c>
      <c r="F44" s="746">
        <f>G44+H44+I44+J44</f>
        <v>52</v>
      </c>
      <c r="G44" s="499">
        <v>52</v>
      </c>
      <c r="H44" s="500">
        <v>0</v>
      </c>
      <c r="I44" s="500">
        <v>0</v>
      </c>
      <c r="J44" s="747">
        <v>0</v>
      </c>
      <c r="K44" s="725"/>
      <c r="L44" s="502"/>
      <c r="M44" s="704"/>
    </row>
    <row r="45" spans="1:22" s="4" customFormat="1" x14ac:dyDescent="0.2">
      <c r="A45" s="689">
        <f t="shared" si="1"/>
        <v>35</v>
      </c>
      <c r="B45" s="467" t="s">
        <v>311</v>
      </c>
      <c r="C45" s="69" t="s">
        <v>105</v>
      </c>
      <c r="D45" s="670" t="str">
        <f>D48</f>
        <v>0</v>
      </c>
      <c r="E45" s="670" t="str">
        <f>E48</f>
        <v>0</v>
      </c>
      <c r="F45" s="748">
        <f>G45+H45+I45+J45</f>
        <v>64</v>
      </c>
      <c r="G45" s="504">
        <f>G46+G47+G48</f>
        <v>64</v>
      </c>
      <c r="H45" s="504">
        <f>H46+H47+H48</f>
        <v>0</v>
      </c>
      <c r="I45" s="504">
        <f>I46+I47+I48</f>
        <v>0</v>
      </c>
      <c r="J45" s="705">
        <f>J46+J47+J48</f>
        <v>0</v>
      </c>
      <c r="K45" s="726"/>
      <c r="L45" s="504"/>
      <c r="M45" s="705"/>
    </row>
    <row r="46" spans="1:22" s="4" customFormat="1" hidden="1" x14ac:dyDescent="0.2">
      <c r="A46" s="702">
        <f t="shared" si="1"/>
        <v>36</v>
      </c>
      <c r="B46" s="59" t="s">
        <v>106</v>
      </c>
      <c r="C46" s="41" t="s">
        <v>107</v>
      </c>
      <c r="D46" s="190"/>
      <c r="E46" s="190"/>
      <c r="F46" s="749">
        <v>0</v>
      </c>
      <c r="G46" s="509">
        <v>0</v>
      </c>
      <c r="H46" s="509">
        <v>0</v>
      </c>
      <c r="I46" s="509">
        <v>0</v>
      </c>
      <c r="J46" s="706">
        <v>0</v>
      </c>
      <c r="K46" s="727"/>
      <c r="L46" s="509"/>
      <c r="M46" s="706"/>
    </row>
    <row r="47" spans="1:22" s="4" customFormat="1" hidden="1" x14ac:dyDescent="0.2">
      <c r="A47" s="689">
        <f t="shared" si="1"/>
        <v>37</v>
      </c>
      <c r="B47" s="59" t="s">
        <v>108</v>
      </c>
      <c r="C47" s="41" t="s">
        <v>109</v>
      </c>
      <c r="D47" s="190"/>
      <c r="E47" s="190"/>
      <c r="F47" s="749">
        <v>0</v>
      </c>
      <c r="G47" s="509">
        <v>0</v>
      </c>
      <c r="H47" s="509">
        <v>0</v>
      </c>
      <c r="I47" s="509">
        <v>0</v>
      </c>
      <c r="J47" s="706">
        <v>0</v>
      </c>
      <c r="K47" s="727"/>
      <c r="L47" s="509"/>
      <c r="M47" s="706"/>
    </row>
    <row r="48" spans="1:22" s="4" customFormat="1" x14ac:dyDescent="0.2">
      <c r="A48" s="702">
        <f t="shared" si="1"/>
        <v>38</v>
      </c>
      <c r="B48" s="59" t="s">
        <v>110</v>
      </c>
      <c r="C48" s="41" t="s">
        <v>111</v>
      </c>
      <c r="D48" s="190" t="s">
        <v>139</v>
      </c>
      <c r="E48" s="190" t="s">
        <v>139</v>
      </c>
      <c r="F48" s="749">
        <f>G48+H48+I48+J48</f>
        <v>64</v>
      </c>
      <c r="G48" s="509">
        <v>64</v>
      </c>
      <c r="H48" s="509">
        <v>0</v>
      </c>
      <c r="I48" s="509">
        <v>0</v>
      </c>
      <c r="J48" s="706">
        <v>0</v>
      </c>
      <c r="K48" s="727"/>
      <c r="L48" s="509"/>
      <c r="M48" s="706"/>
    </row>
    <row r="49" spans="1:15" s="4" customFormat="1" hidden="1" x14ac:dyDescent="0.2">
      <c r="A49" s="689">
        <f t="shared" si="1"/>
        <v>39</v>
      </c>
      <c r="B49" s="77" t="s">
        <v>113</v>
      </c>
      <c r="C49" s="56" t="s">
        <v>114</v>
      </c>
      <c r="D49" s="189"/>
      <c r="E49" s="114"/>
      <c r="F49" s="749"/>
      <c r="G49" s="509"/>
      <c r="H49" s="509"/>
      <c r="I49" s="509"/>
      <c r="J49" s="706"/>
      <c r="K49" s="727"/>
      <c r="L49" s="509"/>
      <c r="M49" s="706"/>
    </row>
    <row r="50" spans="1:15" s="4" customFormat="1" hidden="1" x14ac:dyDescent="0.2">
      <c r="A50" s="702">
        <f t="shared" si="1"/>
        <v>40</v>
      </c>
      <c r="B50" s="59" t="s">
        <v>115</v>
      </c>
      <c r="C50" s="41" t="s">
        <v>116</v>
      </c>
      <c r="D50" s="190"/>
      <c r="E50" s="117"/>
      <c r="F50" s="749"/>
      <c r="G50" s="509"/>
      <c r="H50" s="509"/>
      <c r="I50" s="509"/>
      <c r="J50" s="706"/>
      <c r="K50" s="727"/>
      <c r="L50" s="509"/>
      <c r="M50" s="706"/>
    </row>
    <row r="51" spans="1:15" s="4" customFormat="1" hidden="1" x14ac:dyDescent="0.2">
      <c r="A51" s="689">
        <f t="shared" si="1"/>
        <v>41</v>
      </c>
      <c r="B51" s="59" t="s">
        <v>117</v>
      </c>
      <c r="C51" s="41" t="s">
        <v>118</v>
      </c>
      <c r="D51" s="190"/>
      <c r="E51" s="117"/>
      <c r="F51" s="749"/>
      <c r="G51" s="509"/>
      <c r="H51" s="509"/>
      <c r="I51" s="509"/>
      <c r="J51" s="706"/>
      <c r="K51" s="727"/>
      <c r="L51" s="509"/>
      <c r="M51" s="706"/>
    </row>
    <row r="52" spans="1:15" s="4" customFormat="1" hidden="1" x14ac:dyDescent="0.2">
      <c r="A52" s="702">
        <f t="shared" si="1"/>
        <v>42</v>
      </c>
      <c r="B52" s="55" t="s">
        <v>119</v>
      </c>
      <c r="C52" s="56" t="s">
        <v>120</v>
      </c>
      <c r="D52" s="189"/>
      <c r="E52" s="114"/>
      <c r="F52" s="749"/>
      <c r="G52" s="513"/>
      <c r="H52" s="513"/>
      <c r="I52" s="513"/>
      <c r="J52" s="707"/>
      <c r="K52" s="606"/>
      <c r="L52" s="513"/>
      <c r="M52" s="707"/>
    </row>
    <row r="53" spans="1:15" s="4" customFormat="1" hidden="1" x14ac:dyDescent="0.2">
      <c r="A53" s="689">
        <f t="shared" si="1"/>
        <v>43</v>
      </c>
      <c r="B53" s="55" t="s">
        <v>121</v>
      </c>
      <c r="C53" s="56" t="s">
        <v>122</v>
      </c>
      <c r="D53" s="189"/>
      <c r="E53" s="114"/>
      <c r="F53" s="749"/>
      <c r="G53" s="513"/>
      <c r="H53" s="513"/>
      <c r="I53" s="513"/>
      <c r="J53" s="707"/>
      <c r="K53" s="606"/>
      <c r="L53" s="513"/>
      <c r="M53" s="707"/>
    </row>
    <row r="54" spans="1:15" s="4" customFormat="1" hidden="1" x14ac:dyDescent="0.2">
      <c r="A54" s="702">
        <f t="shared" si="1"/>
        <v>44</v>
      </c>
      <c r="B54" s="55" t="s">
        <v>123</v>
      </c>
      <c r="C54" s="56" t="s">
        <v>124</v>
      </c>
      <c r="D54" s="189"/>
      <c r="E54" s="114"/>
      <c r="F54" s="749"/>
      <c r="G54" s="513"/>
      <c r="H54" s="513"/>
      <c r="I54" s="513"/>
      <c r="J54" s="707"/>
      <c r="K54" s="606"/>
      <c r="L54" s="513"/>
      <c r="M54" s="707"/>
    </row>
    <row r="55" spans="1:15" s="4" customFormat="1" hidden="1" x14ac:dyDescent="0.2">
      <c r="A55" s="689">
        <f t="shared" si="1"/>
        <v>45</v>
      </c>
      <c r="B55" s="55" t="s">
        <v>125</v>
      </c>
      <c r="C55" s="56" t="s">
        <v>126</v>
      </c>
      <c r="D55" s="189"/>
      <c r="E55" s="114"/>
      <c r="F55" s="749"/>
      <c r="G55" s="509"/>
      <c r="H55" s="509"/>
      <c r="I55" s="509"/>
      <c r="J55" s="706"/>
      <c r="K55" s="727"/>
      <c r="L55" s="509"/>
      <c r="M55" s="706"/>
    </row>
    <row r="56" spans="1:15" s="4" customFormat="1" hidden="1" x14ac:dyDescent="0.2">
      <c r="A56" s="702">
        <f t="shared" si="1"/>
        <v>46</v>
      </c>
      <c r="B56" s="55" t="s">
        <v>312</v>
      </c>
      <c r="C56" s="56" t="s">
        <v>128</v>
      </c>
      <c r="D56" s="189"/>
      <c r="E56" s="114"/>
      <c r="F56" s="750">
        <f>G56+H56+I56+J56</f>
        <v>0</v>
      </c>
      <c r="G56" s="513">
        <f>G57</f>
        <v>0</v>
      </c>
      <c r="H56" s="513">
        <f>H57</f>
        <v>0</v>
      </c>
      <c r="I56" s="513">
        <f>I57</f>
        <v>0</v>
      </c>
      <c r="J56" s="707">
        <f>J57</f>
        <v>0</v>
      </c>
      <c r="K56" s="606"/>
      <c r="L56" s="513"/>
      <c r="M56" s="707"/>
    </row>
    <row r="57" spans="1:15" s="4" customFormat="1" ht="13.5" hidden="1" thickBot="1" x14ac:dyDescent="0.25">
      <c r="A57" s="689">
        <f t="shared" si="1"/>
        <v>47</v>
      </c>
      <c r="B57" s="106" t="s">
        <v>313</v>
      </c>
      <c r="C57" s="81" t="s">
        <v>132</v>
      </c>
      <c r="D57" s="605"/>
      <c r="E57" s="196"/>
      <c r="F57" s="751">
        <f>G57+H57+I57+J57</f>
        <v>0</v>
      </c>
      <c r="G57" s="519">
        <v>0</v>
      </c>
      <c r="H57" s="519">
        <v>0</v>
      </c>
      <c r="I57" s="519">
        <v>0</v>
      </c>
      <c r="J57" s="708">
        <v>0</v>
      </c>
      <c r="K57" s="728"/>
      <c r="L57" s="519"/>
      <c r="M57" s="708"/>
    </row>
    <row r="58" spans="1:15" s="135" customFormat="1" hidden="1" x14ac:dyDescent="0.2">
      <c r="A58" s="689">
        <v>107</v>
      </c>
      <c r="B58" s="179" t="s">
        <v>180</v>
      </c>
      <c r="C58" s="180"/>
      <c r="D58" s="388">
        <f>D62+D72</f>
        <v>0</v>
      </c>
      <c r="E58" s="388">
        <f t="shared" ref="E58:J58" si="5">E62+E72</f>
        <v>0</v>
      </c>
      <c r="F58" s="752">
        <f t="shared" si="5"/>
        <v>0</v>
      </c>
      <c r="G58" s="388">
        <f t="shared" si="5"/>
        <v>0</v>
      </c>
      <c r="H58" s="388">
        <f t="shared" si="5"/>
        <v>0</v>
      </c>
      <c r="I58" s="388">
        <f t="shared" si="5"/>
        <v>0</v>
      </c>
      <c r="J58" s="690">
        <f t="shared" si="5"/>
        <v>0</v>
      </c>
      <c r="K58" s="729">
        <f>K59</f>
        <v>0</v>
      </c>
      <c r="L58" s="389">
        <f>L59</f>
        <v>0</v>
      </c>
      <c r="M58" s="709">
        <f>M59</f>
        <v>0</v>
      </c>
    </row>
    <row r="59" spans="1:15" s="613" customFormat="1" ht="12.75" hidden="1" customHeight="1" x14ac:dyDescent="0.2">
      <c r="A59" s="691">
        <v>121</v>
      </c>
      <c r="B59" s="608" t="s">
        <v>206</v>
      </c>
      <c r="C59" s="609" t="s">
        <v>207</v>
      </c>
      <c r="D59" s="661">
        <f t="shared" ref="D59:M61" si="6">D60</f>
        <v>0</v>
      </c>
      <c r="E59" s="661">
        <f t="shared" si="6"/>
        <v>0</v>
      </c>
      <c r="F59" s="753">
        <f t="shared" si="6"/>
        <v>0</v>
      </c>
      <c r="G59" s="661">
        <f t="shared" si="6"/>
        <v>0</v>
      </c>
      <c r="H59" s="661">
        <f t="shared" si="6"/>
        <v>0</v>
      </c>
      <c r="I59" s="661">
        <f t="shared" si="6"/>
        <v>0</v>
      </c>
      <c r="J59" s="710">
        <f t="shared" si="6"/>
        <v>0</v>
      </c>
      <c r="K59" s="730">
        <f t="shared" si="6"/>
        <v>0</v>
      </c>
      <c r="L59" s="661">
        <f t="shared" si="6"/>
        <v>0</v>
      </c>
      <c r="M59" s="710">
        <f t="shared" si="6"/>
        <v>0</v>
      </c>
    </row>
    <row r="60" spans="1:15" s="4" customFormat="1" ht="12.75" hidden="1" customHeight="1" x14ac:dyDescent="0.2">
      <c r="A60" s="689">
        <v>122</v>
      </c>
      <c r="B60" s="55" t="s">
        <v>208</v>
      </c>
      <c r="C60" s="75">
        <v>71</v>
      </c>
      <c r="D60" s="44">
        <f t="shared" si="6"/>
        <v>0</v>
      </c>
      <c r="E60" s="44">
        <f t="shared" si="6"/>
        <v>0</v>
      </c>
      <c r="F60" s="754">
        <f t="shared" si="6"/>
        <v>0</v>
      </c>
      <c r="G60" s="44">
        <f t="shared" si="6"/>
        <v>0</v>
      </c>
      <c r="H60" s="44">
        <f t="shared" si="6"/>
        <v>0</v>
      </c>
      <c r="I60" s="44">
        <f t="shared" si="6"/>
        <v>0</v>
      </c>
      <c r="J60" s="711">
        <f t="shared" si="6"/>
        <v>0</v>
      </c>
      <c r="K60" s="168">
        <f t="shared" si="6"/>
        <v>0</v>
      </c>
      <c r="L60" s="44">
        <f t="shared" si="6"/>
        <v>0</v>
      </c>
      <c r="M60" s="711">
        <f t="shared" si="6"/>
        <v>0</v>
      </c>
    </row>
    <row r="61" spans="1:15" s="4" customFormat="1" ht="12.75" hidden="1" customHeight="1" x14ac:dyDescent="0.2">
      <c r="A61" s="689">
        <v>123</v>
      </c>
      <c r="B61" s="55" t="s">
        <v>209</v>
      </c>
      <c r="C61" s="75" t="s">
        <v>210</v>
      </c>
      <c r="D61" s="44">
        <f t="shared" si="6"/>
        <v>0</v>
      </c>
      <c r="E61" s="44">
        <f t="shared" si="6"/>
        <v>0</v>
      </c>
      <c r="F61" s="754">
        <f>F62</f>
        <v>0</v>
      </c>
      <c r="G61" s="44">
        <f t="shared" si="6"/>
        <v>0</v>
      </c>
      <c r="H61" s="44">
        <f t="shared" si="6"/>
        <v>0</v>
      </c>
      <c r="I61" s="44">
        <f t="shared" si="6"/>
        <v>0</v>
      </c>
      <c r="J61" s="711">
        <f t="shared" si="6"/>
        <v>0</v>
      </c>
      <c r="K61" s="168">
        <v>0</v>
      </c>
      <c r="L61" s="44">
        <v>0</v>
      </c>
      <c r="M61" s="711">
        <v>0</v>
      </c>
    </row>
    <row r="62" spans="1:15" s="4" customFormat="1" ht="13.5" hidden="1" thickBot="1" x14ac:dyDescent="0.25">
      <c r="A62" s="693">
        <v>125</v>
      </c>
      <c r="B62" s="694" t="s">
        <v>213</v>
      </c>
      <c r="C62" s="695" t="s">
        <v>214</v>
      </c>
      <c r="D62" s="712">
        <v>0</v>
      </c>
      <c r="E62" s="713">
        <v>0</v>
      </c>
      <c r="F62" s="755">
        <f>G62+H62+I62+J62</f>
        <v>0</v>
      </c>
      <c r="G62" s="714">
        <v>0</v>
      </c>
      <c r="H62" s="714">
        <v>0</v>
      </c>
      <c r="I62" s="714">
        <v>0</v>
      </c>
      <c r="J62" s="756">
        <v>0</v>
      </c>
      <c r="K62" s="731"/>
      <c r="L62" s="715"/>
      <c r="M62" s="716"/>
    </row>
    <row r="63" spans="1:15" s="4" customFormat="1" x14ac:dyDescent="0.2">
      <c r="B63" s="151" t="s">
        <v>220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15" s="4" customFormat="1" ht="12.75" customHeight="1" x14ac:dyDescent="0.2">
      <c r="B64" s="151" t="s">
        <v>391</v>
      </c>
      <c r="C64" s="1107" t="s">
        <v>222</v>
      </c>
      <c r="D64" s="1107"/>
      <c r="E64" s="1107"/>
      <c r="F64" s="1107"/>
      <c r="G64" s="152" t="s">
        <v>390</v>
      </c>
      <c r="I64" s="154"/>
      <c r="J64" s="154"/>
      <c r="K64" s="152" t="s">
        <v>224</v>
      </c>
      <c r="O64" s="6"/>
    </row>
    <row r="65" spans="2:15" s="4" customFormat="1" ht="12.75" customHeight="1" x14ac:dyDescent="0.2">
      <c r="B65" s="155" t="s">
        <v>225</v>
      </c>
      <c r="C65" s="1108" t="s">
        <v>392</v>
      </c>
      <c r="D65" s="1108"/>
      <c r="E65" s="1108"/>
      <c r="F65" s="1108"/>
      <c r="G65" s="152" t="s">
        <v>227</v>
      </c>
      <c r="I65" s="156"/>
      <c r="J65" s="156"/>
      <c r="K65" s="1132" t="s">
        <v>388</v>
      </c>
      <c r="L65" s="1132"/>
      <c r="M65" s="1132"/>
      <c r="N65" s="1132"/>
      <c r="O65" s="6"/>
    </row>
    <row r="66" spans="2:15" ht="12.75" customHeight="1" x14ac:dyDescent="0.2">
      <c r="J66" s="305"/>
      <c r="K66" s="152" t="s">
        <v>389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4">
    <mergeCell ref="D9:D10"/>
    <mergeCell ref="E9:E10"/>
    <mergeCell ref="F9:F10"/>
    <mergeCell ref="G9:J9"/>
    <mergeCell ref="K9:M9"/>
    <mergeCell ref="K65:N65"/>
    <mergeCell ref="J1:L1"/>
    <mergeCell ref="B4:M4"/>
    <mergeCell ref="A6:M6"/>
    <mergeCell ref="C7:F7"/>
    <mergeCell ref="B8:L8"/>
    <mergeCell ref="A9:A10"/>
    <mergeCell ref="B9:B10"/>
    <mergeCell ref="C9:C10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D987-D073-4310-BD36-0FDA3A21A2C5}">
  <sheetPr>
    <pageSetUpPr fitToPage="1"/>
  </sheetPr>
  <dimension ref="A1:P169"/>
  <sheetViews>
    <sheetView topLeftCell="A61" workbookViewId="0">
      <selection activeCell="A118" sqref="A118:IV131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0.140625" style="955" customWidth="1"/>
    <col min="5" max="5" width="8.85546875" style="1" hidden="1" customWidth="1"/>
    <col min="6" max="6" width="10.28515625" style="1" customWidth="1"/>
    <col min="7" max="7" width="8.5703125" style="1" customWidth="1"/>
    <col min="8" max="8" width="8.7109375" style="1" customWidth="1"/>
    <col min="9" max="9" width="8.5703125" style="1" customWidth="1"/>
    <col min="10" max="10" width="8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949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949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949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949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B6" s="1118" t="s">
        <v>374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x14ac:dyDescent="0.2">
      <c r="B7" s="1133" t="s">
        <v>375</v>
      </c>
      <c r="C7" s="1133"/>
      <c r="D7" s="1133"/>
      <c r="E7" s="1133"/>
      <c r="F7" s="1133"/>
      <c r="G7" s="1133"/>
      <c r="H7" s="1133"/>
      <c r="I7" s="1133"/>
      <c r="J7" s="1133"/>
      <c r="K7" s="1133"/>
      <c r="L7" s="1133"/>
      <c r="M7" s="1133"/>
    </row>
    <row r="8" spans="1:14" ht="12.75" customHeight="1" thickBot="1" x14ac:dyDescent="0.25">
      <c r="A8" s="1120"/>
      <c r="B8" s="1120"/>
      <c r="C8" s="10"/>
      <c r="D8" s="95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379</v>
      </c>
      <c r="E9" s="1125"/>
      <c r="F9" s="1127" t="s">
        <v>380</v>
      </c>
      <c r="G9" s="1129" t="s">
        <v>12</v>
      </c>
      <c r="H9" s="1129"/>
      <c r="I9" s="1129"/>
      <c r="J9" s="1129"/>
      <c r="K9" s="1130" t="s">
        <v>13</v>
      </c>
      <c r="L9" s="1130"/>
      <c r="M9" s="1131"/>
    </row>
    <row r="10" spans="1:14" s="4" customFormat="1" ht="48" customHeight="1" thickBot="1" x14ac:dyDescent="0.25">
      <c r="A10" s="1135"/>
      <c r="B10" s="1137"/>
      <c r="C10" s="1124"/>
      <c r="D10" s="1126"/>
      <c r="E10" s="1126"/>
      <c r="F10" s="1128"/>
      <c r="G10" s="967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4" s="4" customFormat="1" ht="27" customHeight="1" thickBot="1" x14ac:dyDescent="0.25">
      <c r="A11" s="773" t="s">
        <v>18</v>
      </c>
      <c r="B11" s="17" t="s">
        <v>19</v>
      </c>
      <c r="C11" s="18"/>
      <c r="D11" s="307">
        <f>'68.02.05.02- AP+IND+RAT'!D11+'68.02.05.02 SF.NICOLAE'!D11</f>
        <v>0</v>
      </c>
      <c r="E11" s="307">
        <f>'68.02.05.02- AP+IND+RAT'!E11+'68.02.05.02 SF.NICOLAE'!E11</f>
        <v>0</v>
      </c>
      <c r="F11" s="307">
        <f>'68.02.05.02- AP+IND+RAT'!F11+'68.02.05.02 SF.NICOLAE'!F11</f>
        <v>77786</v>
      </c>
      <c r="G11" s="307">
        <f>'68.02.05.02- AP+IND+RAT'!G11+'68.02.05.02 SF.NICOLAE'!G11</f>
        <v>23478</v>
      </c>
      <c r="H11" s="307">
        <f>'68.02.05.02- AP+IND+RAT'!H11+'68.02.05.02 SF.NICOLAE'!H11</f>
        <v>24401</v>
      </c>
      <c r="I11" s="307">
        <f>'68.02.05.02- AP+IND+RAT'!I11+'68.02.05.02 SF.NICOLAE'!I11</f>
        <v>23863</v>
      </c>
      <c r="J11" s="307">
        <f>'68.02.05.02- AP+IND+RAT'!J11+'68.02.05.02 SF.NICOLAE'!J11</f>
        <v>6044</v>
      </c>
      <c r="K11" s="21">
        <f t="shared" ref="K11:M12" si="0">K12</f>
        <v>80417.463199999998</v>
      </c>
      <c r="L11" s="21">
        <f t="shared" si="0"/>
        <v>82769.89</v>
      </c>
      <c r="M11" s="1029">
        <f t="shared" si="0"/>
        <v>85195.69316000001</v>
      </c>
    </row>
    <row r="12" spans="1:14" s="4" customFormat="1" ht="22.5" customHeight="1" thickBot="1" x14ac:dyDescent="0.25">
      <c r="A12" s="961">
        <v>2</v>
      </c>
      <c r="B12" s="962" t="s">
        <v>20</v>
      </c>
      <c r="C12" s="963"/>
      <c r="D12" s="964">
        <f>'68.02.05.02- AP+IND+RAT'!D12+'68.02.05.02 SF.NICOLAE'!D12</f>
        <v>0</v>
      </c>
      <c r="E12" s="964">
        <f>'68.02.05.02- AP+IND+RAT'!E12+'68.02.05.02 SF.NICOLAE'!E12</f>
        <v>0</v>
      </c>
      <c r="F12" s="964">
        <f>'68.02.05.02- AP+IND+RAT'!F12+'68.02.05.02 SF.NICOLAE'!F12</f>
        <v>77786</v>
      </c>
      <c r="G12" s="964">
        <f>'68.02.05.02- AP+IND+RAT'!G12+'68.02.05.02 SF.NICOLAE'!G12</f>
        <v>23478</v>
      </c>
      <c r="H12" s="964">
        <f>'68.02.05.02- AP+IND+RAT'!H12+'68.02.05.02 SF.NICOLAE'!H12</f>
        <v>24401</v>
      </c>
      <c r="I12" s="964">
        <f>'68.02.05.02- AP+IND+RAT'!I12+'68.02.05.02 SF.NICOLAE'!I12</f>
        <v>23863</v>
      </c>
      <c r="J12" s="964">
        <f>'68.02.05.02- AP+IND+RAT'!J12+'68.02.05.02 SF.NICOLAE'!J12</f>
        <v>6044</v>
      </c>
      <c r="K12" s="965">
        <f t="shared" si="0"/>
        <v>80417.463199999998</v>
      </c>
      <c r="L12" s="965">
        <f t="shared" si="0"/>
        <v>82769.89</v>
      </c>
      <c r="M12" s="1030">
        <f t="shared" si="0"/>
        <v>85195.69316000001</v>
      </c>
    </row>
    <row r="13" spans="1:14" s="4" customFormat="1" ht="13.5" thickBot="1" x14ac:dyDescent="0.25">
      <c r="A13" s="689">
        <v>3</v>
      </c>
      <c r="B13" s="157" t="s">
        <v>21</v>
      </c>
      <c r="C13" s="75" t="s">
        <v>22</v>
      </c>
      <c r="D13" s="307">
        <f>'68.02.05.02- AP+IND+RAT'!D13+'68.02.05.02 SF.NICOLAE'!D13</f>
        <v>0</v>
      </c>
      <c r="E13" s="307">
        <f>'68.02.05.02- AP+IND+RAT'!E13+'68.02.05.02 SF.NICOLAE'!E13</f>
        <v>0</v>
      </c>
      <c r="F13" s="307">
        <f>'68.02.05.02- AP+IND+RAT'!F13+'68.02.05.02 SF.NICOLAE'!F13</f>
        <v>77786</v>
      </c>
      <c r="G13" s="307">
        <f>'68.02.05.02- AP+IND+RAT'!G13+'68.02.05.02 SF.NICOLAE'!G13</f>
        <v>23478</v>
      </c>
      <c r="H13" s="307">
        <f>'68.02.05.02- AP+IND+RAT'!H13+'68.02.05.02 SF.NICOLAE'!H13</f>
        <v>24401</v>
      </c>
      <c r="I13" s="307">
        <f>'68.02.05.02- AP+IND+RAT'!I13+'68.02.05.02 SF.NICOLAE'!I13</f>
        <v>23863</v>
      </c>
      <c r="J13" s="307">
        <f>'68.02.05.02- AP+IND+RAT'!J13+'68.02.05.02 SF.NICOLAE'!J13</f>
        <v>6044</v>
      </c>
      <c r="K13" s="57">
        <f>K14+K34+K93+1</f>
        <v>80417.463199999998</v>
      </c>
      <c r="L13" s="57">
        <f>L14+L34+L93</f>
        <v>82769.89</v>
      </c>
      <c r="M13" s="881">
        <f>M14+M34+M93</f>
        <v>85195.69316000001</v>
      </c>
    </row>
    <row r="14" spans="1:14" s="4" customFormat="1" ht="13.5" thickBot="1" x14ac:dyDescent="0.25">
      <c r="A14" s="689">
        <v>4</v>
      </c>
      <c r="B14" s="160" t="s">
        <v>23</v>
      </c>
      <c r="C14" s="161" t="s">
        <v>24</v>
      </c>
      <c r="D14" s="307">
        <f>'68.02.05.02- AP+IND+RAT'!D14+'68.02.05.02 SF.NICOLAE'!D14</f>
        <v>0</v>
      </c>
      <c r="E14" s="307">
        <f>'68.02.05.02- AP+IND+RAT'!E14+'68.02.05.02 SF.NICOLAE'!E14</f>
        <v>0</v>
      </c>
      <c r="F14" s="307">
        <f>'68.02.05.02- AP+IND+RAT'!F14+'68.02.05.02 SF.NICOLAE'!F14</f>
        <v>23558</v>
      </c>
      <c r="G14" s="307">
        <f>'68.02.05.02- AP+IND+RAT'!G14+'68.02.05.02 SF.NICOLAE'!G14</f>
        <v>5936</v>
      </c>
      <c r="H14" s="307">
        <f>'68.02.05.02- AP+IND+RAT'!H14+'68.02.05.02 SF.NICOLAE'!H14</f>
        <v>6043</v>
      </c>
      <c r="I14" s="307">
        <f>'68.02.05.02- AP+IND+RAT'!I14+'68.02.05.02 SF.NICOLAE'!I14</f>
        <v>5852</v>
      </c>
      <c r="J14" s="307">
        <f>'68.02.05.02- AP+IND+RAT'!J14+'68.02.05.02 SF.NICOLAE'!J14</f>
        <v>5727</v>
      </c>
      <c r="K14" s="57">
        <f>'68.02.05.02- AP+IND+RAT'!K14+'68.02.05.02 SF.NICOLAE'!K14</f>
        <v>24426.951000000001</v>
      </c>
      <c r="L14" s="57">
        <f>'68.02.05.02- AP+IND+RAT'!L14+'68.02.05.02 SF.NICOLAE'!L14</f>
        <v>25138.407999999999</v>
      </c>
      <c r="M14" s="881">
        <f>'68.02.05.02- AP+IND+RAT'!M14+'68.02.05.02 SF.NICOLAE'!M14</f>
        <v>25870.055000000004</v>
      </c>
    </row>
    <row r="15" spans="1:14" s="4" customFormat="1" ht="13.5" thickBot="1" x14ac:dyDescent="0.25">
      <c r="A15" s="689">
        <v>5</v>
      </c>
      <c r="B15" s="55" t="s">
        <v>25</v>
      </c>
      <c r="C15" s="161" t="s">
        <v>26</v>
      </c>
      <c r="D15" s="307">
        <f>'68.02.05.02- AP+IND+RAT'!D15+'68.02.05.02 SF.NICOLAE'!D15</f>
        <v>0</v>
      </c>
      <c r="E15" s="307">
        <f>'68.02.05.02- AP+IND+RAT'!E15+'68.02.05.02 SF.NICOLAE'!E15</f>
        <v>0</v>
      </c>
      <c r="F15" s="307">
        <f>'68.02.05.02- AP+IND+RAT'!F15+'68.02.05.02 SF.NICOLAE'!F15</f>
        <v>22716</v>
      </c>
      <c r="G15" s="307">
        <f>'68.02.05.02- AP+IND+RAT'!G15+'68.02.05.02 SF.NICOLAE'!G15</f>
        <v>5813</v>
      </c>
      <c r="H15" s="307">
        <f>'68.02.05.02- AP+IND+RAT'!H15+'68.02.05.02 SF.NICOLAE'!H15</f>
        <v>5601</v>
      </c>
      <c r="I15" s="307">
        <f>'68.02.05.02- AP+IND+RAT'!I15+'68.02.05.02 SF.NICOLAE'!I15</f>
        <v>5713</v>
      </c>
      <c r="J15" s="307">
        <f>'68.02.05.02- AP+IND+RAT'!J15+'68.02.05.02 SF.NICOLAE'!J15</f>
        <v>5589</v>
      </c>
      <c r="K15" s="57"/>
      <c r="L15" s="43"/>
      <c r="M15" s="771"/>
    </row>
    <row r="16" spans="1:14" s="4" customFormat="1" ht="13.5" thickBot="1" x14ac:dyDescent="0.25">
      <c r="A16" s="689">
        <v>6</v>
      </c>
      <c r="B16" s="40" t="s">
        <v>27</v>
      </c>
      <c r="C16" s="41" t="s">
        <v>28</v>
      </c>
      <c r="D16" s="957">
        <f>'68.02.05.02- AP+IND+RAT'!D16+'68.02.05.02 SF.NICOLAE'!D16</f>
        <v>0</v>
      </c>
      <c r="E16" s="958">
        <f>'68.02.05.02- AP+IND+RAT'!E16+'68.02.05.02 SF.NICOLAE'!E16</f>
        <v>0</v>
      </c>
      <c r="F16" s="958">
        <f>'68.02.05.02- AP+IND+RAT'!F16+'68.02.05.02 SF.NICOLAE'!F16</f>
        <v>20894</v>
      </c>
      <c r="G16" s="958">
        <f>'68.02.05.02- AP+IND+RAT'!G16+'68.02.05.02 SF.NICOLAE'!G16</f>
        <v>5310</v>
      </c>
      <c r="H16" s="958">
        <f>'68.02.05.02- AP+IND+RAT'!H16+'68.02.05.02 SF.NICOLAE'!H16</f>
        <v>5086</v>
      </c>
      <c r="I16" s="958">
        <f>'68.02.05.02- AP+IND+RAT'!I16+'68.02.05.02 SF.NICOLAE'!I16</f>
        <v>5214</v>
      </c>
      <c r="J16" s="958">
        <f>'68.02.05.02- AP+IND+RAT'!J16+'68.02.05.02 SF.NICOLAE'!J16</f>
        <v>5284</v>
      </c>
      <c r="K16" s="45"/>
      <c r="L16" s="44"/>
      <c r="M16" s="711"/>
    </row>
    <row r="17" spans="1:16" s="4" customFormat="1" ht="13.5" thickBot="1" x14ac:dyDescent="0.25">
      <c r="A17" s="689">
        <v>7</v>
      </c>
      <c r="B17" s="40" t="s">
        <v>29</v>
      </c>
      <c r="C17" s="41" t="s">
        <v>30</v>
      </c>
      <c r="D17" s="957">
        <f>'68.02.05.02- AP+IND+RAT'!D17+'68.02.05.02 SF.NICOLAE'!D17</f>
        <v>0</v>
      </c>
      <c r="E17" s="958">
        <f>'68.02.05.02- AP+IND+RAT'!E17+'68.02.05.02 SF.NICOLAE'!E17</f>
        <v>0</v>
      </c>
      <c r="F17" s="958">
        <f>'68.02.05.02- AP+IND+RAT'!F17+'68.02.05.02 SF.NICOLAE'!F17</f>
        <v>207</v>
      </c>
      <c r="G17" s="958">
        <f>'68.02.05.02- AP+IND+RAT'!G17+'68.02.05.02 SF.NICOLAE'!G17</f>
        <v>78</v>
      </c>
      <c r="H17" s="958">
        <f>'68.02.05.02- AP+IND+RAT'!H17+'68.02.05.02 SF.NICOLAE'!H17</f>
        <v>78</v>
      </c>
      <c r="I17" s="958">
        <f>'68.02.05.02- AP+IND+RAT'!I17+'68.02.05.02 SF.NICOLAE'!I17</f>
        <v>51</v>
      </c>
      <c r="J17" s="958">
        <f>'68.02.05.02- AP+IND+RAT'!J17+'68.02.05.02 SF.NICOLAE'!J17</f>
        <v>0</v>
      </c>
      <c r="K17" s="45"/>
      <c r="L17" s="44"/>
      <c r="M17" s="711"/>
      <c r="P17" s="48"/>
    </row>
    <row r="18" spans="1:16" s="4" customFormat="1" ht="13.5" thickBot="1" x14ac:dyDescent="0.25">
      <c r="A18" s="689">
        <v>8</v>
      </c>
      <c r="B18" s="40" t="s">
        <v>31</v>
      </c>
      <c r="C18" s="41" t="s">
        <v>32</v>
      </c>
      <c r="D18" s="957">
        <f>'68.02.05.02- AP+IND+RAT'!D18+'68.02.05.02 SF.NICOLAE'!D18</f>
        <v>0</v>
      </c>
      <c r="E18" s="958">
        <f>'68.02.05.02- AP+IND+RAT'!E18+'68.02.05.02 SF.NICOLAE'!E18</f>
        <v>0</v>
      </c>
      <c r="F18" s="958">
        <f>'68.02.05.02- AP+IND+RAT'!F18+'68.02.05.02 SF.NICOLAE'!F18</f>
        <v>15</v>
      </c>
      <c r="G18" s="958">
        <f>'68.02.05.02- AP+IND+RAT'!G18+'68.02.05.02 SF.NICOLAE'!G18</f>
        <v>4</v>
      </c>
      <c r="H18" s="958">
        <f>'68.02.05.02- AP+IND+RAT'!H18+'68.02.05.02 SF.NICOLAE'!H18</f>
        <v>4</v>
      </c>
      <c r="I18" s="958">
        <f>'68.02.05.02- AP+IND+RAT'!I18+'68.02.05.02 SF.NICOLAE'!I18</f>
        <v>4</v>
      </c>
      <c r="J18" s="958">
        <f>'68.02.05.02- AP+IND+RAT'!J18+'68.02.05.02 SF.NICOLAE'!J18</f>
        <v>3</v>
      </c>
      <c r="K18" s="45"/>
      <c r="L18" s="44"/>
      <c r="M18" s="711"/>
      <c r="P18" s="48"/>
    </row>
    <row r="19" spans="1:16" s="4" customFormat="1" ht="13.5" hidden="1" thickBot="1" x14ac:dyDescent="0.25">
      <c r="A19" s="689">
        <v>9</v>
      </c>
      <c r="B19" s="320" t="s">
        <v>33</v>
      </c>
      <c r="C19" s="7" t="s">
        <v>34</v>
      </c>
      <c r="D19" s="957">
        <f>'68.02.05.02- AP+IND+RAT'!D19+'68.02.05.02 SF.NICOLAE'!D19</f>
        <v>0</v>
      </c>
      <c r="E19" s="958">
        <f>'68.02.05.02- AP+IND+RAT'!E19+'68.02.05.02 SF.NICOLAE'!E19</f>
        <v>0</v>
      </c>
      <c r="F19" s="958">
        <f>'68.02.05.02- AP+IND+RAT'!F19+'68.02.05.02 SF.NICOLAE'!F19</f>
        <v>0</v>
      </c>
      <c r="G19" s="958">
        <f>'68.02.05.02- AP+IND+RAT'!G19+'68.02.05.02 SF.NICOLAE'!G19</f>
        <v>0</v>
      </c>
      <c r="H19" s="958">
        <f>'68.02.05.02- AP+IND+RAT'!H19+'68.02.05.02 SF.NICOLAE'!H19</f>
        <v>0</v>
      </c>
      <c r="I19" s="958">
        <f>'68.02.05.02- AP+IND+RAT'!I19+'68.02.05.02 SF.NICOLAE'!I19</f>
        <v>0</v>
      </c>
      <c r="J19" s="958">
        <f>'68.02.05.02- AP+IND+RAT'!J19+'68.02.05.02 SF.NICOLAE'!J19</f>
        <v>0</v>
      </c>
      <c r="K19" s="45"/>
      <c r="L19" s="44"/>
      <c r="M19" s="711"/>
      <c r="P19" s="48"/>
    </row>
    <row r="20" spans="1:16" s="4" customFormat="1" ht="13.5" hidden="1" thickBot="1" x14ac:dyDescent="0.25">
      <c r="A20" s="689">
        <v>10</v>
      </c>
      <c r="B20" s="40" t="s">
        <v>35</v>
      </c>
      <c r="C20" s="41" t="s">
        <v>36</v>
      </c>
      <c r="D20" s="957">
        <f>'68.02.05.02- AP+IND+RAT'!D20+'68.02.05.02 SF.NICOLAE'!D20</f>
        <v>0</v>
      </c>
      <c r="E20" s="958">
        <f>'68.02.05.02- AP+IND+RAT'!E20+'68.02.05.02 SF.NICOLAE'!E20</f>
        <v>0</v>
      </c>
      <c r="F20" s="958">
        <f>'68.02.05.02- AP+IND+RAT'!F20+'68.02.05.02 SF.NICOLAE'!F20</f>
        <v>0</v>
      </c>
      <c r="G20" s="958">
        <f>'68.02.05.02- AP+IND+RAT'!G20+'68.02.05.02 SF.NICOLAE'!G20</f>
        <v>0</v>
      </c>
      <c r="H20" s="958">
        <f>'68.02.05.02- AP+IND+RAT'!H20+'68.02.05.02 SF.NICOLAE'!H20</f>
        <v>0</v>
      </c>
      <c r="I20" s="958">
        <f>'68.02.05.02- AP+IND+RAT'!I20+'68.02.05.02 SF.NICOLAE'!I20</f>
        <v>0</v>
      </c>
      <c r="J20" s="958">
        <f>'68.02.05.02- AP+IND+RAT'!J20+'68.02.05.02 SF.NICOLAE'!J20</f>
        <v>0</v>
      </c>
      <c r="K20" s="45"/>
      <c r="L20" s="44"/>
      <c r="M20" s="711"/>
      <c r="P20" s="48"/>
    </row>
    <row r="21" spans="1:16" s="4" customFormat="1" ht="13.5" thickBot="1" x14ac:dyDescent="0.25">
      <c r="A21" s="689">
        <v>11</v>
      </c>
      <c r="B21" s="40" t="s">
        <v>37</v>
      </c>
      <c r="C21" s="41" t="s">
        <v>38</v>
      </c>
      <c r="D21" s="957">
        <f>'68.02.05.02- AP+IND+RAT'!D21+'68.02.05.02 SF.NICOLAE'!D21</f>
        <v>0</v>
      </c>
      <c r="E21" s="958">
        <f>'68.02.05.02- AP+IND+RAT'!E21+'68.02.05.02 SF.NICOLAE'!E21</f>
        <v>0</v>
      </c>
      <c r="F21" s="958">
        <f>'68.02.05.02- AP+IND+RAT'!F21+'68.02.05.02 SF.NICOLAE'!F21</f>
        <v>1600</v>
      </c>
      <c r="G21" s="958">
        <f>'68.02.05.02- AP+IND+RAT'!G21+'68.02.05.02 SF.NICOLAE'!G21</f>
        <v>421</v>
      </c>
      <c r="H21" s="958">
        <f>'68.02.05.02- AP+IND+RAT'!H21+'68.02.05.02 SF.NICOLAE'!H21</f>
        <v>433</v>
      </c>
      <c r="I21" s="958">
        <f>'68.02.05.02- AP+IND+RAT'!I21+'68.02.05.02 SF.NICOLAE'!I21</f>
        <v>444</v>
      </c>
      <c r="J21" s="958">
        <f>'68.02.05.02- AP+IND+RAT'!J21+'68.02.05.02 SF.NICOLAE'!J21</f>
        <v>302</v>
      </c>
      <c r="K21" s="45"/>
      <c r="L21" s="44"/>
      <c r="M21" s="711"/>
      <c r="P21" s="48"/>
    </row>
    <row r="22" spans="1:16" s="4" customFormat="1" ht="13.5" hidden="1" thickBot="1" x14ac:dyDescent="0.25">
      <c r="A22" s="689">
        <v>12</v>
      </c>
      <c r="B22" s="40" t="s">
        <v>39</v>
      </c>
      <c r="C22" s="41" t="s">
        <v>40</v>
      </c>
      <c r="D22" s="307">
        <f>'68.02.05.02- AP+IND+RAT'!D22+'68.02.05.02 SF.NICOLAE'!D22</f>
        <v>0</v>
      </c>
      <c r="E22" s="307">
        <f>'68.02.05.02- AP+IND+RAT'!E22+'68.02.05.02 SF.NICOLAE'!E22</f>
        <v>0</v>
      </c>
      <c r="F22" s="307">
        <f>'68.02.05.02- AP+IND+RAT'!F22+'68.02.05.02 SF.NICOLAE'!F22</f>
        <v>0</v>
      </c>
      <c r="G22" s="307">
        <f>'68.02.05.02- AP+IND+RAT'!G22+'68.02.05.02 SF.NICOLAE'!G22</f>
        <v>0</v>
      </c>
      <c r="H22" s="307">
        <f>'68.02.05.02- AP+IND+RAT'!H22+'68.02.05.02 SF.NICOLAE'!H22</f>
        <v>0</v>
      </c>
      <c r="I22" s="307">
        <f>'68.02.05.02- AP+IND+RAT'!I22+'68.02.05.02 SF.NICOLAE'!I22</f>
        <v>0</v>
      </c>
      <c r="J22" s="307">
        <f>'68.02.05.02- AP+IND+RAT'!J22+'68.02.05.02 SF.NICOLAE'!J22</f>
        <v>0</v>
      </c>
      <c r="K22" s="45"/>
      <c r="L22" s="44"/>
      <c r="M22" s="711"/>
      <c r="P22" s="48"/>
    </row>
    <row r="23" spans="1:16" s="4" customFormat="1" ht="13.5" thickBot="1" x14ac:dyDescent="0.25">
      <c r="A23" s="689">
        <v>13</v>
      </c>
      <c r="B23" s="40" t="s">
        <v>41</v>
      </c>
      <c r="C23" s="52" t="s">
        <v>42</v>
      </c>
      <c r="D23" s="307">
        <f>'68.02.05.02- AP+IND+RAT'!D23+'68.02.05.02 SF.NICOLAE'!D23</f>
        <v>0</v>
      </c>
      <c r="E23" s="307">
        <f>'68.02.05.02- AP+IND+RAT'!E23+'68.02.05.02 SF.NICOLAE'!E23</f>
        <v>0</v>
      </c>
      <c r="F23" s="307">
        <f>'68.02.05.02- AP+IND+RAT'!F23+'68.02.05.02 SF.NICOLAE'!F23</f>
        <v>336</v>
      </c>
      <c r="G23" s="307">
        <f>'68.02.05.02- AP+IND+RAT'!G23+'68.02.05.02 SF.NICOLAE'!G23</f>
        <v>0</v>
      </c>
      <c r="H23" s="307">
        <f>'68.02.05.02- AP+IND+RAT'!H23+'68.02.05.02 SF.NICOLAE'!H23</f>
        <v>316</v>
      </c>
      <c r="I23" s="307">
        <f>'68.02.05.02- AP+IND+RAT'!I23+'68.02.05.02 SF.NICOLAE'!I23</f>
        <v>10</v>
      </c>
      <c r="J23" s="307">
        <f>'68.02.05.02- AP+IND+RAT'!J23+'68.02.05.02 SF.NICOLAE'!J23</f>
        <v>10</v>
      </c>
      <c r="K23" s="45"/>
      <c r="L23" s="44"/>
      <c r="M23" s="711"/>
      <c r="P23" s="48"/>
    </row>
    <row r="24" spans="1:16" s="4" customFormat="1" ht="13.5" thickBot="1" x14ac:dyDescent="0.25">
      <c r="A24" s="689">
        <v>14</v>
      </c>
      <c r="B24" s="40" t="s">
        <v>43</v>
      </c>
      <c r="C24" s="54" t="s">
        <v>44</v>
      </c>
      <c r="D24" s="957">
        <f>'68.02.05.02- AP+IND+RAT'!D24+'68.02.05.02 SF.NICOLAE'!D24</f>
        <v>0</v>
      </c>
      <c r="E24" s="958">
        <f>'68.02.05.02- AP+IND+RAT'!E24+'68.02.05.02 SF.NICOLAE'!E24</f>
        <v>0</v>
      </c>
      <c r="F24" s="958">
        <f>'68.02.05.02- AP+IND+RAT'!F24+'68.02.05.02 SF.NICOLAE'!F24</f>
        <v>336</v>
      </c>
      <c r="G24" s="958">
        <f>'68.02.05.02- AP+IND+RAT'!G24+'68.02.05.02 SF.NICOLAE'!G24</f>
        <v>0</v>
      </c>
      <c r="H24" s="958">
        <f>'68.02.05.02- AP+IND+RAT'!H24+'68.02.05.02 SF.NICOLAE'!H24</f>
        <v>316</v>
      </c>
      <c r="I24" s="958">
        <f>'68.02.05.02- AP+IND+RAT'!I24+'68.02.05.02 SF.NICOLAE'!I24</f>
        <v>10</v>
      </c>
      <c r="J24" s="958">
        <f>'68.02.05.02- AP+IND+RAT'!J24+'68.02.05.02 SF.NICOLAE'!J24</f>
        <v>10</v>
      </c>
      <c r="K24" s="45"/>
      <c r="L24" s="44"/>
      <c r="M24" s="711"/>
      <c r="P24" s="48"/>
    </row>
    <row r="25" spans="1:16" s="4" customFormat="1" ht="13.5" hidden="1" thickBot="1" x14ac:dyDescent="0.25">
      <c r="A25" s="689">
        <v>15</v>
      </c>
      <c r="B25" s="40" t="s">
        <v>230</v>
      </c>
      <c r="C25" s="54" t="s">
        <v>231</v>
      </c>
      <c r="D25" s="307">
        <f>'68.02.05.02- AP+IND+RAT'!D25+'68.02.05.02 SF.NICOLAE'!D25</f>
        <v>0</v>
      </c>
      <c r="E25" s="307">
        <f>'68.02.05.02- AP+IND+RAT'!E25+'68.02.05.02 SF.NICOLAE'!E25</f>
        <v>0</v>
      </c>
      <c r="F25" s="307">
        <f>'68.02.05.02- AP+IND+RAT'!F25+'68.02.05.02 SF.NICOLAE'!F25</f>
        <v>0</v>
      </c>
      <c r="G25" s="307">
        <f>'68.02.05.02- AP+IND+RAT'!G25+'68.02.05.02 SF.NICOLAE'!G25</f>
        <v>0</v>
      </c>
      <c r="H25" s="307">
        <f>'68.02.05.02- AP+IND+RAT'!H25+'68.02.05.02 SF.NICOLAE'!H25</f>
        <v>0</v>
      </c>
      <c r="I25" s="307">
        <f>'68.02.05.02- AP+IND+RAT'!I25+'68.02.05.02 SF.NICOLAE'!I25</f>
        <v>0</v>
      </c>
      <c r="J25" s="307">
        <f>'68.02.05.02- AP+IND+RAT'!J25+'68.02.05.02 SF.NICOLAE'!J25</f>
        <v>0</v>
      </c>
      <c r="K25" s="45"/>
      <c r="L25" s="44"/>
      <c r="M25" s="711"/>
      <c r="P25" s="48"/>
    </row>
    <row r="26" spans="1:16" s="4" customFormat="1" ht="13.5" thickBot="1" x14ac:dyDescent="0.25">
      <c r="A26" s="689">
        <v>16</v>
      </c>
      <c r="B26" s="55" t="s">
        <v>45</v>
      </c>
      <c r="C26" s="56" t="s">
        <v>46</v>
      </c>
      <c r="D26" s="307">
        <f>'68.02.05.02- AP+IND+RAT'!D26+'68.02.05.02 SF.NICOLAE'!D26</f>
        <v>0</v>
      </c>
      <c r="E26" s="307">
        <f>'68.02.05.02- AP+IND+RAT'!E26+'68.02.05.02 SF.NICOLAE'!E26</f>
        <v>0</v>
      </c>
      <c r="F26" s="307">
        <f>'68.02.05.02- AP+IND+RAT'!F26+'68.02.05.02 SF.NICOLAE'!F26</f>
        <v>506</v>
      </c>
      <c r="G26" s="307">
        <f>'68.02.05.02- AP+IND+RAT'!G26+'68.02.05.02 SF.NICOLAE'!G26</f>
        <v>123</v>
      </c>
      <c r="H26" s="307">
        <f>'68.02.05.02- AP+IND+RAT'!H26+'68.02.05.02 SF.NICOLAE'!H26</f>
        <v>126</v>
      </c>
      <c r="I26" s="307">
        <f>'68.02.05.02- AP+IND+RAT'!I26+'68.02.05.02 SF.NICOLAE'!I26</f>
        <v>129</v>
      </c>
      <c r="J26" s="307">
        <f>'68.02.05.02- AP+IND+RAT'!J26+'68.02.05.02 SF.NICOLAE'!J26</f>
        <v>128</v>
      </c>
      <c r="K26" s="57"/>
      <c r="L26" s="43"/>
      <c r="M26" s="771"/>
    </row>
    <row r="27" spans="1:16" s="4" customFormat="1" ht="13.5" hidden="1" thickBot="1" x14ac:dyDescent="0.25">
      <c r="A27" s="689">
        <v>17</v>
      </c>
      <c r="B27" s="59" t="s">
        <v>47</v>
      </c>
      <c r="C27" s="41" t="s">
        <v>48</v>
      </c>
      <c r="D27" s="307">
        <f>'68.02.05.02- AP+IND+RAT'!D27+'68.02.05.02 SF.NICOLAE'!D27</f>
        <v>0</v>
      </c>
      <c r="E27" s="307">
        <f>'68.02.05.02- AP+IND+RAT'!E27+'68.02.05.02 SF.NICOLAE'!E27</f>
        <v>0</v>
      </c>
      <c r="F27" s="307">
        <f>'68.02.05.02- AP+IND+RAT'!F27+'68.02.05.02 SF.NICOLAE'!F27</f>
        <v>0</v>
      </c>
      <c r="G27" s="307">
        <f>'68.02.05.02- AP+IND+RAT'!G27+'68.02.05.02 SF.NICOLAE'!G27</f>
        <v>0</v>
      </c>
      <c r="H27" s="307">
        <f>'68.02.05.02- AP+IND+RAT'!H27+'68.02.05.02 SF.NICOLAE'!H27</f>
        <v>0</v>
      </c>
      <c r="I27" s="307">
        <f>'68.02.05.02- AP+IND+RAT'!I27+'68.02.05.02 SF.NICOLAE'!I27</f>
        <v>0</v>
      </c>
      <c r="J27" s="307">
        <f>'68.02.05.02- AP+IND+RAT'!J27+'68.02.05.02 SF.NICOLAE'!J27</f>
        <v>0</v>
      </c>
      <c r="K27" s="45"/>
      <c r="L27" s="44"/>
      <c r="M27" s="711"/>
    </row>
    <row r="28" spans="1:16" s="4" customFormat="1" ht="13.5" hidden="1" thickBot="1" x14ac:dyDescent="0.25">
      <c r="A28" s="689">
        <v>18</v>
      </c>
      <c r="B28" s="59" t="s">
        <v>49</v>
      </c>
      <c r="C28" s="41" t="s">
        <v>50</v>
      </c>
      <c r="D28" s="307">
        <f>'68.02.05.02- AP+IND+RAT'!D28+'68.02.05.02 SF.NICOLAE'!D28</f>
        <v>0</v>
      </c>
      <c r="E28" s="307">
        <f>'68.02.05.02- AP+IND+RAT'!E28+'68.02.05.02 SF.NICOLAE'!E28</f>
        <v>0</v>
      </c>
      <c r="F28" s="307">
        <f>'68.02.05.02- AP+IND+RAT'!F28+'68.02.05.02 SF.NICOLAE'!F28</f>
        <v>0</v>
      </c>
      <c r="G28" s="307">
        <f>'68.02.05.02- AP+IND+RAT'!G28+'68.02.05.02 SF.NICOLAE'!G28</f>
        <v>0</v>
      </c>
      <c r="H28" s="307">
        <f>'68.02.05.02- AP+IND+RAT'!H28+'68.02.05.02 SF.NICOLAE'!H28</f>
        <v>0</v>
      </c>
      <c r="I28" s="307">
        <f>'68.02.05.02- AP+IND+RAT'!I28+'68.02.05.02 SF.NICOLAE'!I28</f>
        <v>0</v>
      </c>
      <c r="J28" s="307">
        <f>'68.02.05.02- AP+IND+RAT'!J28+'68.02.05.02 SF.NICOLAE'!J28</f>
        <v>0</v>
      </c>
      <c r="K28" s="45"/>
      <c r="L28" s="44"/>
      <c r="M28" s="711"/>
    </row>
    <row r="29" spans="1:16" s="4" customFormat="1" ht="13.5" hidden="1" thickBot="1" x14ac:dyDescent="0.25">
      <c r="A29" s="689">
        <v>19</v>
      </c>
      <c r="B29" s="59" t="s">
        <v>51</v>
      </c>
      <c r="C29" s="41" t="s">
        <v>52</v>
      </c>
      <c r="D29" s="307">
        <f>'68.02.05.02- AP+IND+RAT'!D29+'68.02.05.02 SF.NICOLAE'!D29</f>
        <v>0</v>
      </c>
      <c r="E29" s="307">
        <f>'68.02.05.02- AP+IND+RAT'!E29+'68.02.05.02 SF.NICOLAE'!E29</f>
        <v>0</v>
      </c>
      <c r="F29" s="307">
        <f>'68.02.05.02- AP+IND+RAT'!F29+'68.02.05.02 SF.NICOLAE'!F29</f>
        <v>0</v>
      </c>
      <c r="G29" s="307">
        <f>'68.02.05.02- AP+IND+RAT'!G29+'68.02.05.02 SF.NICOLAE'!G29</f>
        <v>0</v>
      </c>
      <c r="H29" s="307">
        <f>'68.02.05.02- AP+IND+RAT'!H29+'68.02.05.02 SF.NICOLAE'!H29</f>
        <v>0</v>
      </c>
      <c r="I29" s="307">
        <f>'68.02.05.02- AP+IND+RAT'!I29+'68.02.05.02 SF.NICOLAE'!I29</f>
        <v>0</v>
      </c>
      <c r="J29" s="307">
        <f>'68.02.05.02- AP+IND+RAT'!J29+'68.02.05.02 SF.NICOLAE'!J29</f>
        <v>0</v>
      </c>
      <c r="K29" s="45"/>
      <c r="L29" s="44"/>
      <c r="M29" s="711"/>
    </row>
    <row r="30" spans="1:16" s="4" customFormat="1" ht="26.25" hidden="1" thickBot="1" x14ac:dyDescent="0.25">
      <c r="A30" s="689">
        <v>20</v>
      </c>
      <c r="B30" s="60" t="s">
        <v>53</v>
      </c>
      <c r="C30" s="61" t="s">
        <v>54</v>
      </c>
      <c r="D30" s="307">
        <f>'68.02.05.02- AP+IND+RAT'!D30+'68.02.05.02 SF.NICOLAE'!D30</f>
        <v>0</v>
      </c>
      <c r="E30" s="307">
        <f>'68.02.05.02- AP+IND+RAT'!E30+'68.02.05.02 SF.NICOLAE'!E30</f>
        <v>0</v>
      </c>
      <c r="F30" s="307">
        <f>'68.02.05.02- AP+IND+RAT'!F30+'68.02.05.02 SF.NICOLAE'!F30</f>
        <v>0</v>
      </c>
      <c r="G30" s="307">
        <f>'68.02.05.02- AP+IND+RAT'!G30+'68.02.05.02 SF.NICOLAE'!G30</f>
        <v>0</v>
      </c>
      <c r="H30" s="307">
        <f>'68.02.05.02- AP+IND+RAT'!H30+'68.02.05.02 SF.NICOLAE'!H30</f>
        <v>0</v>
      </c>
      <c r="I30" s="307">
        <f>'68.02.05.02- AP+IND+RAT'!I30+'68.02.05.02 SF.NICOLAE'!I30</f>
        <v>0</v>
      </c>
      <c r="J30" s="307">
        <f>'68.02.05.02- AP+IND+RAT'!J30+'68.02.05.02 SF.NICOLAE'!J30</f>
        <v>0</v>
      </c>
      <c r="K30" s="45"/>
      <c r="L30" s="44"/>
      <c r="M30" s="711"/>
    </row>
    <row r="31" spans="1:16" s="4" customFormat="1" ht="13.5" hidden="1" thickBot="1" x14ac:dyDescent="0.25">
      <c r="A31" s="689">
        <v>21</v>
      </c>
      <c r="B31" s="59" t="s">
        <v>55</v>
      </c>
      <c r="C31" s="41" t="s">
        <v>56</v>
      </c>
      <c r="D31" s="307">
        <f>'68.02.05.02- AP+IND+RAT'!D31+'68.02.05.02 SF.NICOLAE'!D31</f>
        <v>0</v>
      </c>
      <c r="E31" s="307">
        <f>'68.02.05.02- AP+IND+RAT'!E31+'68.02.05.02 SF.NICOLAE'!E31</f>
        <v>0</v>
      </c>
      <c r="F31" s="307">
        <f>'68.02.05.02- AP+IND+RAT'!F31+'68.02.05.02 SF.NICOLAE'!F31</f>
        <v>0</v>
      </c>
      <c r="G31" s="307">
        <f>'68.02.05.02- AP+IND+RAT'!G31+'68.02.05.02 SF.NICOLAE'!G31</f>
        <v>0</v>
      </c>
      <c r="H31" s="307">
        <f>'68.02.05.02- AP+IND+RAT'!H31+'68.02.05.02 SF.NICOLAE'!H31</f>
        <v>0</v>
      </c>
      <c r="I31" s="307">
        <f>'68.02.05.02- AP+IND+RAT'!I31+'68.02.05.02 SF.NICOLAE'!I31</f>
        <v>0</v>
      </c>
      <c r="J31" s="307">
        <f>'68.02.05.02- AP+IND+RAT'!J31+'68.02.05.02 SF.NICOLAE'!J31</f>
        <v>0</v>
      </c>
      <c r="K31" s="45"/>
      <c r="L31" s="44"/>
      <c r="M31" s="711"/>
    </row>
    <row r="32" spans="1:16" s="4" customFormat="1" ht="13.5" thickBot="1" x14ac:dyDescent="0.25">
      <c r="A32" s="689">
        <v>22</v>
      </c>
      <c r="B32" s="59" t="s">
        <v>57</v>
      </c>
      <c r="C32" s="41" t="s">
        <v>58</v>
      </c>
      <c r="D32" s="957">
        <f>'68.02.05.02- AP+IND+RAT'!D32+'68.02.05.02 SF.NICOLAE'!D32</f>
        <v>0</v>
      </c>
      <c r="E32" s="958">
        <f>'68.02.05.02- AP+IND+RAT'!E32+'68.02.05.02 SF.NICOLAE'!E32</f>
        <v>0</v>
      </c>
      <c r="F32" s="958">
        <f>'68.02.05.02- AP+IND+RAT'!F32+'68.02.05.02 SF.NICOLAE'!F32</f>
        <v>506</v>
      </c>
      <c r="G32" s="958">
        <f>'68.02.05.02- AP+IND+RAT'!G32+'68.02.05.02 SF.NICOLAE'!G32</f>
        <v>123</v>
      </c>
      <c r="H32" s="958">
        <f>'68.02.05.02- AP+IND+RAT'!H32+'68.02.05.02 SF.NICOLAE'!H32</f>
        <v>126</v>
      </c>
      <c r="I32" s="958">
        <f>'68.02.05.02- AP+IND+RAT'!I32+'68.02.05.02 SF.NICOLAE'!I32</f>
        <v>129</v>
      </c>
      <c r="J32" s="958">
        <f>'68.02.05.02- AP+IND+RAT'!J32+'68.02.05.02 SF.NICOLAE'!J32</f>
        <v>128</v>
      </c>
      <c r="K32" s="45"/>
      <c r="L32" s="44"/>
      <c r="M32" s="711"/>
    </row>
    <row r="33" spans="1:16" s="4" customFormat="1" ht="13.5" hidden="1" thickBot="1" x14ac:dyDescent="0.25">
      <c r="A33" s="689">
        <v>23</v>
      </c>
      <c r="B33" s="59" t="s">
        <v>59</v>
      </c>
      <c r="C33" s="41" t="s">
        <v>60</v>
      </c>
      <c r="D33" s="307">
        <f>'68.02.05.02- AP+IND+RAT'!D33+'68.02.05.02 SF.NICOLAE'!D33</f>
        <v>0</v>
      </c>
      <c r="E33" s="307">
        <f>'68.02.05.02- AP+IND+RAT'!E33+'68.02.05.02 SF.NICOLAE'!E33</f>
        <v>0</v>
      </c>
      <c r="F33" s="307">
        <f>'68.02.05.02- AP+IND+RAT'!F33+'68.02.05.02 SF.NICOLAE'!F33</f>
        <v>0</v>
      </c>
      <c r="G33" s="307">
        <f>'68.02.05.02- AP+IND+RAT'!G33+'68.02.05.02 SF.NICOLAE'!G33</f>
        <v>0</v>
      </c>
      <c r="H33" s="307">
        <f>'68.02.05.02- AP+IND+RAT'!H33+'68.02.05.02 SF.NICOLAE'!H33</f>
        <v>0</v>
      </c>
      <c r="I33" s="307">
        <f>'68.02.05.02- AP+IND+RAT'!I33+'68.02.05.02 SF.NICOLAE'!I33</f>
        <v>0</v>
      </c>
      <c r="J33" s="307">
        <f>'68.02.05.02- AP+IND+RAT'!J33+'68.02.05.02 SF.NICOLAE'!J33</f>
        <v>0</v>
      </c>
      <c r="K33" s="45"/>
      <c r="L33" s="44"/>
      <c r="M33" s="711"/>
    </row>
    <row r="34" spans="1:16" s="4" customFormat="1" ht="26.25" thickBot="1" x14ac:dyDescent="0.25">
      <c r="A34" s="689">
        <v>24</v>
      </c>
      <c r="B34" s="169" t="s">
        <v>61</v>
      </c>
      <c r="C34" s="170">
        <v>20</v>
      </c>
      <c r="D34" s="307">
        <f>'68.02.05.02- AP+IND+RAT'!D34+'68.02.05.02 SF.NICOLAE'!D34</f>
        <v>0</v>
      </c>
      <c r="E34" s="307">
        <f>'68.02.05.02- AP+IND+RAT'!E34+'68.02.05.02 SF.NICOLAE'!E34</f>
        <v>0</v>
      </c>
      <c r="F34" s="307">
        <f>'68.02.05.02- AP+IND+RAT'!F34+'68.02.05.02 SF.NICOLAE'!F34</f>
        <v>246</v>
      </c>
      <c r="G34" s="307">
        <f>'68.02.05.02- AP+IND+RAT'!G34+'68.02.05.02 SF.NICOLAE'!G34</f>
        <v>77</v>
      </c>
      <c r="H34" s="307">
        <f>'68.02.05.02- AP+IND+RAT'!H34+'68.02.05.02 SF.NICOLAE'!H34</f>
        <v>72</v>
      </c>
      <c r="I34" s="307">
        <f>'68.02.05.02- AP+IND+RAT'!I34+'68.02.05.02 SF.NICOLAE'!I34</f>
        <v>50</v>
      </c>
      <c r="J34" s="307">
        <f>'68.02.05.02- AP+IND+RAT'!J34+'68.02.05.02 SF.NICOLAE'!J34</f>
        <v>47</v>
      </c>
      <c r="K34" s="57">
        <f>'68.02.05.02- AP+IND+RAT'!K34+'68.02.05.02 SF.NICOLAE'!K34</f>
        <v>247.69899999999998</v>
      </c>
      <c r="L34" s="57">
        <f>'68.02.05.02- AP+IND+RAT'!L34+'68.02.05.02 SF.NICOLAE'!L34</f>
        <v>248.61600000000001</v>
      </c>
      <c r="M34" s="881">
        <f>'68.02.05.02- AP+IND+RAT'!M34+'68.02.05.02 SF.NICOLAE'!M34</f>
        <v>248.81700000000001</v>
      </c>
    </row>
    <row r="35" spans="1:16" s="4" customFormat="1" ht="13.5" thickBot="1" x14ac:dyDescent="0.25">
      <c r="A35" s="689">
        <v>25</v>
      </c>
      <c r="B35" s="160" t="s">
        <v>62</v>
      </c>
      <c r="C35" s="56" t="s">
        <v>63</v>
      </c>
      <c r="D35" s="307">
        <f>'68.02.05.02- AP+IND+RAT'!D35+'68.02.05.02 SF.NICOLAE'!D35</f>
        <v>0</v>
      </c>
      <c r="E35" s="307">
        <f>'68.02.05.02- AP+IND+RAT'!E35+'68.02.05.02 SF.NICOLAE'!E35</f>
        <v>0</v>
      </c>
      <c r="F35" s="307">
        <f>'68.02.05.02- AP+IND+RAT'!F35+'68.02.05.02 SF.NICOLAE'!F35</f>
        <v>233</v>
      </c>
      <c r="G35" s="307">
        <f>'68.02.05.02- AP+IND+RAT'!G35+'68.02.05.02 SF.NICOLAE'!G35</f>
        <v>71</v>
      </c>
      <c r="H35" s="307">
        <f>'68.02.05.02- AP+IND+RAT'!H35+'68.02.05.02 SF.NICOLAE'!H35</f>
        <v>67</v>
      </c>
      <c r="I35" s="307">
        <f>'68.02.05.02- AP+IND+RAT'!I35+'68.02.05.02 SF.NICOLAE'!I35</f>
        <v>49</v>
      </c>
      <c r="J35" s="307">
        <f>'68.02.05.02- AP+IND+RAT'!J35+'68.02.05.02 SF.NICOLAE'!J35</f>
        <v>46</v>
      </c>
      <c r="K35" s="104"/>
      <c r="L35" s="103"/>
      <c r="M35" s="781"/>
    </row>
    <row r="36" spans="1:16" s="4" customFormat="1" ht="13.5" thickBot="1" x14ac:dyDescent="0.25">
      <c r="A36" s="689">
        <v>26</v>
      </c>
      <c r="B36" s="55" t="s">
        <v>64</v>
      </c>
      <c r="C36" s="56" t="s">
        <v>65</v>
      </c>
      <c r="D36" s="307">
        <f>'68.02.05.02- AP+IND+RAT'!D36+'68.02.05.02 SF.NICOLAE'!D36</f>
        <v>0</v>
      </c>
      <c r="E36" s="307">
        <f>'68.02.05.02- AP+IND+RAT'!E36+'68.02.05.02 SF.NICOLAE'!E36</f>
        <v>0</v>
      </c>
      <c r="F36" s="307">
        <f>'68.02.05.02- AP+IND+RAT'!F36+'68.02.05.02 SF.NICOLAE'!F36</f>
        <v>1</v>
      </c>
      <c r="G36" s="307">
        <f>'68.02.05.02- AP+IND+RAT'!G36+'68.02.05.02 SF.NICOLAE'!G36</f>
        <v>0</v>
      </c>
      <c r="H36" s="307">
        <f>'68.02.05.02- AP+IND+RAT'!H36+'68.02.05.02 SF.NICOLAE'!H36</f>
        <v>1</v>
      </c>
      <c r="I36" s="307">
        <f>'68.02.05.02- AP+IND+RAT'!I36+'68.02.05.02 SF.NICOLAE'!I36</f>
        <v>0</v>
      </c>
      <c r="J36" s="307">
        <f>'68.02.05.02- AP+IND+RAT'!J36+'68.02.05.02 SF.NICOLAE'!J36</f>
        <v>0</v>
      </c>
      <c r="K36" s="250"/>
      <c r="L36" s="91"/>
      <c r="M36" s="780"/>
    </row>
    <row r="37" spans="1:16" s="4" customFormat="1" ht="13.5" thickBot="1" x14ac:dyDescent="0.25">
      <c r="A37" s="689">
        <v>27</v>
      </c>
      <c r="B37" s="59" t="s">
        <v>64</v>
      </c>
      <c r="C37" s="41"/>
      <c r="D37" s="957">
        <f>'68.02.05.02- AP+IND+RAT'!D37+'68.02.05.02 SF.NICOLAE'!D37</f>
        <v>0</v>
      </c>
      <c r="E37" s="958">
        <f>'68.02.05.02- AP+IND+RAT'!E37+'68.02.05.02 SF.NICOLAE'!E37</f>
        <v>0</v>
      </c>
      <c r="F37" s="958">
        <f>'68.02.05.02- AP+IND+RAT'!F37+'68.02.05.02 SF.NICOLAE'!F37</f>
        <v>1</v>
      </c>
      <c r="G37" s="958">
        <f>'68.02.05.02- AP+IND+RAT'!G37+'68.02.05.02 SF.NICOLAE'!G37</f>
        <v>0</v>
      </c>
      <c r="H37" s="958">
        <f>'68.02.05.02- AP+IND+RAT'!H37+'68.02.05.02 SF.NICOLAE'!H37</f>
        <v>1</v>
      </c>
      <c r="I37" s="958">
        <f>'68.02.05.02- AP+IND+RAT'!I37+'68.02.05.02 SF.NICOLAE'!I37</f>
        <v>0</v>
      </c>
      <c r="J37" s="958">
        <f>'68.02.05.02- AP+IND+RAT'!J37+'68.02.05.02 SF.NICOLAE'!J37</f>
        <v>0</v>
      </c>
      <c r="K37" s="250"/>
      <c r="L37" s="91"/>
      <c r="M37" s="780"/>
    </row>
    <row r="38" spans="1:16" s="4" customFormat="1" ht="13.5" hidden="1" thickBot="1" x14ac:dyDescent="0.25">
      <c r="A38" s="689">
        <v>28</v>
      </c>
      <c r="B38" s="59" t="s">
        <v>66</v>
      </c>
      <c r="C38" s="41"/>
      <c r="D38" s="307">
        <f>'68.02.05.02- AP+IND+RAT'!D38+'68.02.05.02 SF.NICOLAE'!D38</f>
        <v>0</v>
      </c>
      <c r="E38" s="307">
        <f>'68.02.05.02- AP+IND+RAT'!E38+'68.02.05.02 SF.NICOLAE'!E38</f>
        <v>0</v>
      </c>
      <c r="F38" s="307">
        <f>'68.02.05.02- AP+IND+RAT'!F38+'68.02.05.02 SF.NICOLAE'!F38</f>
        <v>0</v>
      </c>
      <c r="G38" s="307">
        <f>'68.02.05.02- AP+IND+RAT'!G38+'68.02.05.02 SF.NICOLAE'!G38</f>
        <v>0</v>
      </c>
      <c r="H38" s="307">
        <f>'68.02.05.02- AP+IND+RAT'!H38+'68.02.05.02 SF.NICOLAE'!H38</f>
        <v>0</v>
      </c>
      <c r="I38" s="307">
        <f>'68.02.05.02- AP+IND+RAT'!I38+'68.02.05.02 SF.NICOLAE'!I38</f>
        <v>0</v>
      </c>
      <c r="J38" s="307">
        <f>'68.02.05.02- AP+IND+RAT'!J38+'68.02.05.02 SF.NICOLAE'!J38</f>
        <v>0</v>
      </c>
      <c r="K38" s="250"/>
      <c r="L38" s="91"/>
      <c r="M38" s="780"/>
    </row>
    <row r="39" spans="1:16" s="4" customFormat="1" ht="13.5" hidden="1" thickBot="1" x14ac:dyDescent="0.25">
      <c r="A39" s="689">
        <v>29</v>
      </c>
      <c r="B39" s="59" t="s">
        <v>67</v>
      </c>
      <c r="C39" s="41"/>
      <c r="D39" s="307">
        <f>'68.02.05.02- AP+IND+RAT'!D39+'68.02.05.02 SF.NICOLAE'!D39</f>
        <v>0</v>
      </c>
      <c r="E39" s="307">
        <f>'68.02.05.02- AP+IND+RAT'!E39+'68.02.05.02 SF.NICOLAE'!E39</f>
        <v>0</v>
      </c>
      <c r="F39" s="307">
        <f>'68.02.05.02- AP+IND+RAT'!F39+'68.02.05.02 SF.NICOLAE'!F39</f>
        <v>0</v>
      </c>
      <c r="G39" s="307">
        <f>'68.02.05.02- AP+IND+RAT'!G39+'68.02.05.02 SF.NICOLAE'!G39</f>
        <v>0</v>
      </c>
      <c r="H39" s="307">
        <f>'68.02.05.02- AP+IND+RAT'!H39+'68.02.05.02 SF.NICOLAE'!H39</f>
        <v>0</v>
      </c>
      <c r="I39" s="307">
        <f>'68.02.05.02- AP+IND+RAT'!I39+'68.02.05.02 SF.NICOLAE'!I39</f>
        <v>0</v>
      </c>
      <c r="J39" s="307">
        <f>'68.02.05.02- AP+IND+RAT'!J39+'68.02.05.02 SF.NICOLAE'!J39</f>
        <v>0</v>
      </c>
      <c r="K39" s="250"/>
      <c r="L39" s="91"/>
      <c r="M39" s="780"/>
    </row>
    <row r="40" spans="1:16" s="4" customFormat="1" ht="13.5" thickBot="1" x14ac:dyDescent="0.25">
      <c r="A40" s="689">
        <v>30</v>
      </c>
      <c r="B40" s="55" t="s">
        <v>68</v>
      </c>
      <c r="C40" s="56" t="s">
        <v>69</v>
      </c>
      <c r="D40" s="307">
        <f>'68.02.05.02- AP+IND+RAT'!D40+'68.02.05.02 SF.NICOLAE'!D40</f>
        <v>0</v>
      </c>
      <c r="E40" s="307">
        <f>'68.02.05.02- AP+IND+RAT'!E40+'68.02.05.02 SF.NICOLAE'!E40</f>
        <v>0</v>
      </c>
      <c r="F40" s="307">
        <f>'68.02.05.02- AP+IND+RAT'!F40+'68.02.05.02 SF.NICOLAE'!F40</f>
        <v>1</v>
      </c>
      <c r="G40" s="307">
        <f>'68.02.05.02- AP+IND+RAT'!G40+'68.02.05.02 SF.NICOLAE'!G40</f>
        <v>1</v>
      </c>
      <c r="H40" s="307">
        <f>'68.02.05.02- AP+IND+RAT'!H40+'68.02.05.02 SF.NICOLAE'!H40</f>
        <v>0</v>
      </c>
      <c r="I40" s="307">
        <f>'68.02.05.02- AP+IND+RAT'!I40+'68.02.05.02 SF.NICOLAE'!I40</f>
        <v>0</v>
      </c>
      <c r="J40" s="307">
        <f>'68.02.05.02- AP+IND+RAT'!J40+'68.02.05.02 SF.NICOLAE'!J40</f>
        <v>0</v>
      </c>
      <c r="K40" s="250"/>
      <c r="L40" s="91"/>
      <c r="M40" s="780"/>
      <c r="P40" s="51"/>
    </row>
    <row r="41" spans="1:16" s="4" customFormat="1" ht="13.5" thickBot="1" x14ac:dyDescent="0.25">
      <c r="A41" s="689">
        <v>31</v>
      </c>
      <c r="B41" s="59" t="s">
        <v>70</v>
      </c>
      <c r="C41" s="56"/>
      <c r="D41" s="957">
        <f>'68.02.05.02- AP+IND+RAT'!D41+'68.02.05.02 SF.NICOLAE'!D41</f>
        <v>0</v>
      </c>
      <c r="E41" s="958">
        <f>'68.02.05.02- AP+IND+RAT'!E41+'68.02.05.02 SF.NICOLAE'!E41</f>
        <v>0</v>
      </c>
      <c r="F41" s="958">
        <f>'68.02.05.02- AP+IND+RAT'!F41+'68.02.05.02 SF.NICOLAE'!F41</f>
        <v>1</v>
      </c>
      <c r="G41" s="958">
        <f>'68.02.05.02- AP+IND+RAT'!G41+'68.02.05.02 SF.NICOLAE'!G41</f>
        <v>1</v>
      </c>
      <c r="H41" s="958">
        <f>'68.02.05.02- AP+IND+RAT'!H41+'68.02.05.02 SF.NICOLAE'!H41</f>
        <v>0</v>
      </c>
      <c r="I41" s="958">
        <f>'68.02.05.02- AP+IND+RAT'!I41+'68.02.05.02 SF.NICOLAE'!I41</f>
        <v>0</v>
      </c>
      <c r="J41" s="958">
        <f>'68.02.05.02- AP+IND+RAT'!J41+'68.02.05.02 SF.NICOLAE'!J41</f>
        <v>0</v>
      </c>
      <c r="K41" s="250"/>
      <c r="L41" s="91"/>
      <c r="M41" s="780"/>
    </row>
    <row r="42" spans="1:16" s="4" customFormat="1" ht="13.5" hidden="1" thickBot="1" x14ac:dyDescent="0.25">
      <c r="A42" s="689">
        <v>32</v>
      </c>
      <c r="B42" s="59" t="s">
        <v>71</v>
      </c>
      <c r="C42" s="56"/>
      <c r="D42" s="307">
        <f>'68.02.05.02- AP+IND+RAT'!D42+'68.02.05.02 SF.NICOLAE'!D42</f>
        <v>0</v>
      </c>
      <c r="E42" s="307">
        <f>'68.02.05.02- AP+IND+RAT'!E42+'68.02.05.02 SF.NICOLAE'!E42</f>
        <v>0</v>
      </c>
      <c r="F42" s="307">
        <f>'68.02.05.02- AP+IND+RAT'!F42+'68.02.05.02 SF.NICOLAE'!F42</f>
        <v>0</v>
      </c>
      <c r="G42" s="307">
        <f>'68.02.05.02- AP+IND+RAT'!G42+'68.02.05.02 SF.NICOLAE'!G42</f>
        <v>0</v>
      </c>
      <c r="H42" s="307">
        <f>'68.02.05.02- AP+IND+RAT'!H42+'68.02.05.02 SF.NICOLAE'!H42</f>
        <v>0</v>
      </c>
      <c r="I42" s="307">
        <f>'68.02.05.02- AP+IND+RAT'!I42+'68.02.05.02 SF.NICOLAE'!I42</f>
        <v>0</v>
      </c>
      <c r="J42" s="307">
        <f>'68.02.05.02- AP+IND+RAT'!J42+'68.02.05.02 SF.NICOLAE'!J42</f>
        <v>0</v>
      </c>
      <c r="K42" s="250"/>
      <c r="L42" s="91"/>
      <c r="M42" s="780"/>
    </row>
    <row r="43" spans="1:16" s="4" customFormat="1" ht="13.5" thickBot="1" x14ac:dyDescent="0.25">
      <c r="A43" s="689">
        <v>33</v>
      </c>
      <c r="B43" s="55" t="s">
        <v>72</v>
      </c>
      <c r="C43" s="56" t="s">
        <v>73</v>
      </c>
      <c r="D43" s="307">
        <f>'68.02.05.02- AP+IND+RAT'!D43+'68.02.05.02 SF.NICOLAE'!D43</f>
        <v>0</v>
      </c>
      <c r="E43" s="307">
        <f>'68.02.05.02- AP+IND+RAT'!E43+'68.02.05.02 SF.NICOLAE'!E43</f>
        <v>0</v>
      </c>
      <c r="F43" s="307">
        <f>'68.02.05.02- AP+IND+RAT'!F43+'68.02.05.02 SF.NICOLAE'!F43</f>
        <v>16</v>
      </c>
      <c r="G43" s="307">
        <f>'68.02.05.02- AP+IND+RAT'!G43+'68.02.05.02 SF.NICOLAE'!G43</f>
        <v>8</v>
      </c>
      <c r="H43" s="307">
        <f>'68.02.05.02- AP+IND+RAT'!H43+'68.02.05.02 SF.NICOLAE'!H43</f>
        <v>4</v>
      </c>
      <c r="I43" s="307">
        <f>'68.02.05.02- AP+IND+RAT'!I43+'68.02.05.02 SF.NICOLAE'!I43</f>
        <v>3</v>
      </c>
      <c r="J43" s="307">
        <f>'68.02.05.02- AP+IND+RAT'!J43+'68.02.05.02 SF.NICOLAE'!J43</f>
        <v>1</v>
      </c>
      <c r="K43" s="250"/>
      <c r="L43" s="91"/>
      <c r="M43" s="780"/>
    </row>
    <row r="44" spans="1:16" s="4" customFormat="1" ht="13.5" thickBot="1" x14ac:dyDescent="0.25">
      <c r="A44" s="689">
        <v>34</v>
      </c>
      <c r="B44" s="55" t="s">
        <v>74</v>
      </c>
      <c r="C44" s="56" t="s">
        <v>75</v>
      </c>
      <c r="D44" s="307">
        <f>'68.02.05.02- AP+IND+RAT'!D44+'68.02.05.02 SF.NICOLAE'!D44</f>
        <v>0</v>
      </c>
      <c r="E44" s="307">
        <f>'68.02.05.02- AP+IND+RAT'!E44+'68.02.05.02 SF.NICOLAE'!E44</f>
        <v>0</v>
      </c>
      <c r="F44" s="307">
        <f>'68.02.05.02- AP+IND+RAT'!F44+'68.02.05.02 SF.NICOLAE'!F44</f>
        <v>22</v>
      </c>
      <c r="G44" s="307">
        <f>'68.02.05.02- AP+IND+RAT'!G44+'68.02.05.02 SF.NICOLAE'!G44</f>
        <v>10</v>
      </c>
      <c r="H44" s="307">
        <f>'68.02.05.02- AP+IND+RAT'!H44+'68.02.05.02 SF.NICOLAE'!H44</f>
        <v>10</v>
      </c>
      <c r="I44" s="307">
        <f>'68.02.05.02- AP+IND+RAT'!I44+'68.02.05.02 SF.NICOLAE'!I44</f>
        <v>1</v>
      </c>
      <c r="J44" s="307">
        <f>'68.02.05.02- AP+IND+RAT'!J44+'68.02.05.02 SF.NICOLAE'!J44</f>
        <v>1</v>
      </c>
      <c r="K44" s="250"/>
      <c r="L44" s="91"/>
      <c r="M44" s="780"/>
    </row>
    <row r="45" spans="1:16" s="4" customFormat="1" ht="13.5" hidden="1" thickBot="1" x14ac:dyDescent="0.25">
      <c r="A45" s="689">
        <v>35</v>
      </c>
      <c r="B45" s="59" t="s">
        <v>76</v>
      </c>
      <c r="C45" s="41" t="s">
        <v>77</v>
      </c>
      <c r="D45" s="307">
        <f>'68.02.05.02- AP+IND+RAT'!D45+'68.02.05.02 SF.NICOLAE'!D45</f>
        <v>0</v>
      </c>
      <c r="E45" s="307">
        <f>'68.02.05.02- AP+IND+RAT'!E45+'68.02.05.02 SF.NICOLAE'!E45</f>
        <v>0</v>
      </c>
      <c r="F45" s="307">
        <f>'68.02.05.02- AP+IND+RAT'!F45+'68.02.05.02 SF.NICOLAE'!F45</f>
        <v>0</v>
      </c>
      <c r="G45" s="307">
        <f>'68.02.05.02- AP+IND+RAT'!G45+'68.02.05.02 SF.NICOLAE'!G45</f>
        <v>0</v>
      </c>
      <c r="H45" s="307">
        <f>'68.02.05.02- AP+IND+RAT'!H45+'68.02.05.02 SF.NICOLAE'!H45</f>
        <v>0</v>
      </c>
      <c r="I45" s="307">
        <f>'68.02.05.02- AP+IND+RAT'!I45+'68.02.05.02 SF.NICOLAE'!I45</f>
        <v>0</v>
      </c>
      <c r="J45" s="307">
        <f>'68.02.05.02- AP+IND+RAT'!J45+'68.02.05.02 SF.NICOLAE'!J45</f>
        <v>0</v>
      </c>
      <c r="K45" s="250"/>
      <c r="L45" s="91"/>
      <c r="M45" s="780"/>
    </row>
    <row r="46" spans="1:16" s="4" customFormat="1" ht="13.5" hidden="1" thickBot="1" x14ac:dyDescent="0.25">
      <c r="A46" s="689">
        <v>36</v>
      </c>
      <c r="B46" s="59" t="s">
        <v>78</v>
      </c>
      <c r="C46" s="41" t="s">
        <v>79</v>
      </c>
      <c r="D46" s="307">
        <f>'68.02.05.02- AP+IND+RAT'!D46+'68.02.05.02 SF.NICOLAE'!D46</f>
        <v>0</v>
      </c>
      <c r="E46" s="307">
        <f>'68.02.05.02- AP+IND+RAT'!E46+'68.02.05.02 SF.NICOLAE'!E46</f>
        <v>0</v>
      </c>
      <c r="F46" s="307">
        <f>'68.02.05.02- AP+IND+RAT'!F46+'68.02.05.02 SF.NICOLAE'!F46</f>
        <v>0</v>
      </c>
      <c r="G46" s="307">
        <f>'68.02.05.02- AP+IND+RAT'!G46+'68.02.05.02 SF.NICOLAE'!G46</f>
        <v>0</v>
      </c>
      <c r="H46" s="307">
        <f>'68.02.05.02- AP+IND+RAT'!H46+'68.02.05.02 SF.NICOLAE'!H46</f>
        <v>0</v>
      </c>
      <c r="I46" s="307">
        <f>'68.02.05.02- AP+IND+RAT'!I46+'68.02.05.02 SF.NICOLAE'!I46</f>
        <v>0</v>
      </c>
      <c r="J46" s="307">
        <f>'68.02.05.02- AP+IND+RAT'!J46+'68.02.05.02 SF.NICOLAE'!J46</f>
        <v>0</v>
      </c>
      <c r="K46" s="250"/>
      <c r="L46" s="91"/>
      <c r="M46" s="780"/>
    </row>
    <row r="47" spans="1:16" s="4" customFormat="1" ht="13.5" thickBot="1" x14ac:dyDescent="0.25">
      <c r="A47" s="689">
        <v>37</v>
      </c>
      <c r="B47" s="59" t="s">
        <v>80</v>
      </c>
      <c r="C47" s="41" t="s">
        <v>81</v>
      </c>
      <c r="D47" s="307">
        <f>'68.02.05.02- AP+IND+RAT'!D47+'68.02.05.02 SF.NICOLAE'!D47</f>
        <v>0</v>
      </c>
      <c r="E47" s="307">
        <f>'68.02.05.02- AP+IND+RAT'!E47+'68.02.05.02 SF.NICOLAE'!E47</f>
        <v>0</v>
      </c>
      <c r="F47" s="307">
        <f>'68.02.05.02- AP+IND+RAT'!F47+'68.02.05.02 SF.NICOLAE'!F47</f>
        <v>181</v>
      </c>
      <c r="G47" s="307">
        <f>'68.02.05.02- AP+IND+RAT'!G47+'68.02.05.02 SF.NICOLAE'!G47</f>
        <v>47</v>
      </c>
      <c r="H47" s="307">
        <f>'68.02.05.02- AP+IND+RAT'!H47+'68.02.05.02 SF.NICOLAE'!H47</f>
        <v>46</v>
      </c>
      <c r="I47" s="307">
        <f>'68.02.05.02- AP+IND+RAT'!I47+'68.02.05.02 SF.NICOLAE'!I47</f>
        <v>44</v>
      </c>
      <c r="J47" s="307">
        <f>'68.02.05.02- AP+IND+RAT'!J47+'68.02.05.02 SF.NICOLAE'!J47</f>
        <v>44</v>
      </c>
      <c r="K47" s="250"/>
      <c r="L47" s="91"/>
      <c r="M47" s="780"/>
    </row>
    <row r="48" spans="1:16" s="4" customFormat="1" ht="13.5" thickBot="1" x14ac:dyDescent="0.25">
      <c r="A48" s="689">
        <v>38</v>
      </c>
      <c r="B48" s="59" t="s">
        <v>80</v>
      </c>
      <c r="C48" s="41"/>
      <c r="D48" s="957">
        <f>'68.02.05.02- AP+IND+RAT'!D48+'68.02.05.02 SF.NICOLAE'!D48</f>
        <v>0</v>
      </c>
      <c r="E48" s="958">
        <f>'68.02.05.02- AP+IND+RAT'!E48+'68.02.05.02 SF.NICOLAE'!E48</f>
        <v>0</v>
      </c>
      <c r="F48" s="958">
        <f>'68.02.05.02- AP+IND+RAT'!F48+'68.02.05.02 SF.NICOLAE'!F48</f>
        <v>2</v>
      </c>
      <c r="G48" s="958">
        <f>'68.02.05.02- AP+IND+RAT'!G48+'68.02.05.02 SF.NICOLAE'!G48</f>
        <v>1</v>
      </c>
      <c r="H48" s="958">
        <f>'68.02.05.02- AP+IND+RAT'!H48+'68.02.05.02 SF.NICOLAE'!H48</f>
        <v>1</v>
      </c>
      <c r="I48" s="958">
        <f>'68.02.05.02- AP+IND+RAT'!I48+'68.02.05.02 SF.NICOLAE'!I48</f>
        <v>0</v>
      </c>
      <c r="J48" s="958">
        <f>'68.02.05.02- AP+IND+RAT'!J48+'68.02.05.02 SF.NICOLAE'!J48</f>
        <v>0</v>
      </c>
      <c r="K48" s="250"/>
      <c r="L48" s="91"/>
      <c r="M48" s="780"/>
    </row>
    <row r="49" spans="1:13" s="4" customFormat="1" ht="13.5" thickBot="1" x14ac:dyDescent="0.25">
      <c r="A49" s="689">
        <v>39</v>
      </c>
      <c r="B49" s="59" t="s">
        <v>82</v>
      </c>
      <c r="C49" s="41"/>
      <c r="D49" s="957">
        <f>'68.02.05.02- AP+IND+RAT'!D49+'68.02.05.02 SF.NICOLAE'!D49</f>
        <v>0</v>
      </c>
      <c r="E49" s="958">
        <f>'68.02.05.02- AP+IND+RAT'!E49+'68.02.05.02 SF.NICOLAE'!E49</f>
        <v>0</v>
      </c>
      <c r="F49" s="958">
        <f>'68.02.05.02- AP+IND+RAT'!F49+'68.02.05.02 SF.NICOLAE'!F49</f>
        <v>179</v>
      </c>
      <c r="G49" s="958">
        <f>'68.02.05.02- AP+IND+RAT'!G49+'68.02.05.02 SF.NICOLAE'!G49</f>
        <v>46</v>
      </c>
      <c r="H49" s="958">
        <f>'68.02.05.02- AP+IND+RAT'!H49+'68.02.05.02 SF.NICOLAE'!H49</f>
        <v>45</v>
      </c>
      <c r="I49" s="958">
        <f>'68.02.05.02- AP+IND+RAT'!I49+'68.02.05.02 SF.NICOLAE'!I49</f>
        <v>44</v>
      </c>
      <c r="J49" s="958">
        <f>'68.02.05.02- AP+IND+RAT'!J49+'68.02.05.02 SF.NICOLAE'!J49</f>
        <v>44</v>
      </c>
      <c r="K49" s="250"/>
      <c r="L49" s="91"/>
      <c r="M49" s="780"/>
    </row>
    <row r="50" spans="1:13" s="4" customFormat="1" ht="13.5" thickBot="1" x14ac:dyDescent="0.25">
      <c r="A50" s="689">
        <v>40</v>
      </c>
      <c r="B50" s="73" t="s">
        <v>83</v>
      </c>
      <c r="C50" s="56" t="s">
        <v>84</v>
      </c>
      <c r="D50" s="307">
        <f>'68.02.05.02- AP+IND+RAT'!D50+'68.02.05.02 SF.NICOLAE'!D50</f>
        <v>0</v>
      </c>
      <c r="E50" s="307">
        <f>'68.02.05.02- AP+IND+RAT'!E50+'68.02.05.02 SF.NICOLAE'!E50</f>
        <v>0</v>
      </c>
      <c r="F50" s="307">
        <f>'68.02.05.02- AP+IND+RAT'!F50+'68.02.05.02 SF.NICOLAE'!F50</f>
        <v>1</v>
      </c>
      <c r="G50" s="307">
        <f>'68.02.05.02- AP+IND+RAT'!G50+'68.02.05.02 SF.NICOLAE'!G50</f>
        <v>0</v>
      </c>
      <c r="H50" s="307">
        <f>'68.02.05.02- AP+IND+RAT'!H50+'68.02.05.02 SF.NICOLAE'!H50</f>
        <v>1</v>
      </c>
      <c r="I50" s="307">
        <f>'68.02.05.02- AP+IND+RAT'!I50+'68.02.05.02 SF.NICOLAE'!I50</f>
        <v>0</v>
      </c>
      <c r="J50" s="307">
        <f>'68.02.05.02- AP+IND+RAT'!J50+'68.02.05.02 SF.NICOLAE'!J50</f>
        <v>0</v>
      </c>
      <c r="K50" s="250"/>
      <c r="L50" s="91"/>
      <c r="M50" s="780"/>
    </row>
    <row r="51" spans="1:13" s="4" customFormat="1" ht="13.5" thickBot="1" x14ac:dyDescent="0.25">
      <c r="A51" s="689">
        <v>41</v>
      </c>
      <c r="B51" s="74" t="s">
        <v>83</v>
      </c>
      <c r="C51" s="41"/>
      <c r="D51" s="957">
        <f>'68.02.05.02- AP+IND+RAT'!D51+'68.02.05.02 SF.NICOLAE'!D51</f>
        <v>0</v>
      </c>
      <c r="E51" s="958">
        <f>'68.02.05.02- AP+IND+RAT'!E51+'68.02.05.02 SF.NICOLAE'!E51</f>
        <v>0</v>
      </c>
      <c r="F51" s="958">
        <f>'68.02.05.02- AP+IND+RAT'!F51+'68.02.05.02 SF.NICOLAE'!F51</f>
        <v>1</v>
      </c>
      <c r="G51" s="958">
        <f>'68.02.05.02- AP+IND+RAT'!G51+'68.02.05.02 SF.NICOLAE'!G51</f>
        <v>0</v>
      </c>
      <c r="H51" s="958">
        <f>'68.02.05.02- AP+IND+RAT'!H51+'68.02.05.02 SF.NICOLAE'!H51</f>
        <v>1</v>
      </c>
      <c r="I51" s="958">
        <f>'68.02.05.02- AP+IND+RAT'!I51+'68.02.05.02 SF.NICOLAE'!I51</f>
        <v>0</v>
      </c>
      <c r="J51" s="958">
        <f>'68.02.05.02- AP+IND+RAT'!J51+'68.02.05.02 SF.NICOLAE'!J51</f>
        <v>0</v>
      </c>
      <c r="K51" s="250"/>
      <c r="L51" s="91"/>
      <c r="M51" s="780"/>
    </row>
    <row r="52" spans="1:13" s="4" customFormat="1" ht="13.5" hidden="1" thickBot="1" x14ac:dyDescent="0.25">
      <c r="A52" s="689">
        <v>42</v>
      </c>
      <c r="B52" s="74" t="s">
        <v>85</v>
      </c>
      <c r="C52" s="41"/>
      <c r="D52" s="307">
        <f>'68.02.05.02- AP+IND+RAT'!D52+'68.02.05.02 SF.NICOLAE'!D52</f>
        <v>0</v>
      </c>
      <c r="E52" s="307">
        <f>'68.02.05.02- AP+IND+RAT'!E52+'68.02.05.02 SF.NICOLAE'!E52</f>
        <v>0</v>
      </c>
      <c r="F52" s="307">
        <f>'68.02.05.02- AP+IND+RAT'!F52+'68.02.05.02 SF.NICOLAE'!F52</f>
        <v>0</v>
      </c>
      <c r="G52" s="307">
        <f>'68.02.05.02- AP+IND+RAT'!G52+'68.02.05.02 SF.NICOLAE'!G52</f>
        <v>0</v>
      </c>
      <c r="H52" s="307">
        <f>'68.02.05.02- AP+IND+RAT'!H52+'68.02.05.02 SF.NICOLAE'!H52</f>
        <v>0</v>
      </c>
      <c r="I52" s="307">
        <f>'68.02.05.02- AP+IND+RAT'!I52+'68.02.05.02 SF.NICOLAE'!I52</f>
        <v>0</v>
      </c>
      <c r="J52" s="307">
        <f>'68.02.05.02- AP+IND+RAT'!J52+'68.02.05.02 SF.NICOLAE'!J52</f>
        <v>0</v>
      </c>
      <c r="K52" s="250"/>
      <c r="L52" s="91"/>
      <c r="M52" s="780"/>
    </row>
    <row r="53" spans="1:13" s="4" customFormat="1" ht="13.5" thickBot="1" x14ac:dyDescent="0.25">
      <c r="A53" s="689">
        <v>43</v>
      </c>
      <c r="B53" s="55" t="s">
        <v>86</v>
      </c>
      <c r="C53" s="56" t="s">
        <v>87</v>
      </c>
      <c r="D53" s="307">
        <f>'68.02.05.02- AP+IND+RAT'!D53+'68.02.05.02 SF.NICOLAE'!D53</f>
        <v>0</v>
      </c>
      <c r="E53" s="307">
        <f>'68.02.05.02- AP+IND+RAT'!E53+'68.02.05.02 SF.NICOLAE'!E53</f>
        <v>0</v>
      </c>
      <c r="F53" s="307">
        <f>'68.02.05.02- AP+IND+RAT'!F53+'68.02.05.02 SF.NICOLAE'!F53</f>
        <v>11</v>
      </c>
      <c r="G53" s="307">
        <f>'68.02.05.02- AP+IND+RAT'!G53+'68.02.05.02 SF.NICOLAE'!G53</f>
        <v>5</v>
      </c>
      <c r="H53" s="307">
        <f>'68.02.05.02- AP+IND+RAT'!H53+'68.02.05.02 SF.NICOLAE'!H53</f>
        <v>5</v>
      </c>
      <c r="I53" s="307">
        <f>'68.02.05.02- AP+IND+RAT'!I53+'68.02.05.02 SF.NICOLAE'!I53</f>
        <v>1</v>
      </c>
      <c r="J53" s="307">
        <f>'68.02.05.02- AP+IND+RAT'!J53+'68.02.05.02 SF.NICOLAE'!J53</f>
        <v>0</v>
      </c>
      <c r="K53" s="250"/>
      <c r="L53" s="91"/>
      <c r="M53" s="780"/>
    </row>
    <row r="54" spans="1:13" s="4" customFormat="1" ht="13.5" thickBot="1" x14ac:dyDescent="0.25">
      <c r="A54" s="689">
        <v>44</v>
      </c>
      <c r="B54" s="59" t="s">
        <v>88</v>
      </c>
      <c r="C54" s="41"/>
      <c r="D54" s="957">
        <f>'68.02.05.02- AP+IND+RAT'!D54+'68.02.05.02 SF.NICOLAE'!D54</f>
        <v>0</v>
      </c>
      <c r="E54" s="958">
        <f>'68.02.05.02- AP+IND+RAT'!E54+'68.02.05.02 SF.NICOLAE'!E54</f>
        <v>0</v>
      </c>
      <c r="F54" s="958">
        <f>'68.02.05.02- AP+IND+RAT'!F54+'68.02.05.02 SF.NICOLAE'!F54</f>
        <v>7</v>
      </c>
      <c r="G54" s="958">
        <f>'68.02.05.02- AP+IND+RAT'!G54+'68.02.05.02 SF.NICOLAE'!G54</f>
        <v>3</v>
      </c>
      <c r="H54" s="958">
        <f>'68.02.05.02- AP+IND+RAT'!H54+'68.02.05.02 SF.NICOLAE'!H54</f>
        <v>3</v>
      </c>
      <c r="I54" s="958">
        <f>'68.02.05.02- AP+IND+RAT'!I54+'68.02.05.02 SF.NICOLAE'!I54</f>
        <v>1</v>
      </c>
      <c r="J54" s="958">
        <f>'68.02.05.02- AP+IND+RAT'!J54+'68.02.05.02 SF.NICOLAE'!J54</f>
        <v>0</v>
      </c>
      <c r="K54" s="250"/>
      <c r="L54" s="91"/>
      <c r="M54" s="780"/>
    </row>
    <row r="55" spans="1:13" s="4" customFormat="1" ht="13.5" thickBot="1" x14ac:dyDescent="0.25">
      <c r="A55" s="689">
        <v>45</v>
      </c>
      <c r="B55" s="59" t="s">
        <v>89</v>
      </c>
      <c r="C55" s="41"/>
      <c r="D55" s="957">
        <f>'68.02.05.02- AP+IND+RAT'!D55+'68.02.05.02 SF.NICOLAE'!D55</f>
        <v>0</v>
      </c>
      <c r="E55" s="958">
        <f>'68.02.05.02- AP+IND+RAT'!E55+'68.02.05.02 SF.NICOLAE'!E55</f>
        <v>0</v>
      </c>
      <c r="F55" s="958">
        <f>'68.02.05.02- AP+IND+RAT'!F55+'68.02.05.02 SF.NICOLAE'!F55</f>
        <v>4</v>
      </c>
      <c r="G55" s="958">
        <f>'68.02.05.02- AP+IND+RAT'!G55+'68.02.05.02 SF.NICOLAE'!G55</f>
        <v>2</v>
      </c>
      <c r="H55" s="958">
        <f>'68.02.05.02- AP+IND+RAT'!H55+'68.02.05.02 SF.NICOLAE'!H55</f>
        <v>2</v>
      </c>
      <c r="I55" s="958">
        <f>'68.02.05.02- AP+IND+RAT'!I55+'68.02.05.02 SF.NICOLAE'!I55</f>
        <v>0</v>
      </c>
      <c r="J55" s="958">
        <f>'68.02.05.02- AP+IND+RAT'!J55+'68.02.05.02 SF.NICOLAE'!J55</f>
        <v>0</v>
      </c>
      <c r="K55" s="250"/>
      <c r="L55" s="91"/>
      <c r="M55" s="780"/>
    </row>
    <row r="56" spans="1:13" s="4" customFormat="1" ht="13.5" hidden="1" thickBot="1" x14ac:dyDescent="0.25">
      <c r="A56" s="689">
        <v>46</v>
      </c>
      <c r="B56" s="59" t="s">
        <v>233</v>
      </c>
      <c r="C56" s="41"/>
      <c r="D56" s="307">
        <f>'68.02.05.02- AP+IND+RAT'!D56+'68.02.05.02 SF.NICOLAE'!D56</f>
        <v>0</v>
      </c>
      <c r="E56" s="307">
        <f>'68.02.05.02- AP+IND+RAT'!E56+'68.02.05.02 SF.NICOLAE'!E56</f>
        <v>0</v>
      </c>
      <c r="F56" s="307">
        <f>'68.02.05.02- AP+IND+RAT'!F56+'68.02.05.02 SF.NICOLAE'!F56</f>
        <v>0</v>
      </c>
      <c r="G56" s="307">
        <f>'68.02.05.02- AP+IND+RAT'!G56+'68.02.05.02 SF.NICOLAE'!G56</f>
        <v>0</v>
      </c>
      <c r="H56" s="307">
        <f>'68.02.05.02- AP+IND+RAT'!H56+'68.02.05.02 SF.NICOLAE'!H56</f>
        <v>0</v>
      </c>
      <c r="I56" s="307">
        <f>'68.02.05.02- AP+IND+RAT'!I56+'68.02.05.02 SF.NICOLAE'!I56</f>
        <v>0</v>
      </c>
      <c r="J56" s="307">
        <f>'68.02.05.02- AP+IND+RAT'!J56+'68.02.05.02 SF.NICOLAE'!J56</f>
        <v>0</v>
      </c>
      <c r="K56" s="104"/>
      <c r="L56" s="103"/>
      <c r="M56" s="781"/>
    </row>
    <row r="57" spans="1:13" s="4" customFormat="1" ht="13.5" hidden="1" thickBot="1" x14ac:dyDescent="0.25">
      <c r="A57" s="689">
        <v>47</v>
      </c>
      <c r="B57" s="55" t="s">
        <v>91</v>
      </c>
      <c r="C57" s="75" t="s">
        <v>92</v>
      </c>
      <c r="D57" s="307">
        <f>'68.02.05.02- AP+IND+RAT'!D57+'68.02.05.02 SF.NICOLAE'!D57</f>
        <v>0</v>
      </c>
      <c r="E57" s="307">
        <f>'68.02.05.02- AP+IND+RAT'!E57+'68.02.05.02 SF.NICOLAE'!E57</f>
        <v>0</v>
      </c>
      <c r="F57" s="307">
        <f>'68.02.05.02- AP+IND+RAT'!F57+'68.02.05.02 SF.NICOLAE'!F57</f>
        <v>0</v>
      </c>
      <c r="G57" s="307">
        <f>'68.02.05.02- AP+IND+RAT'!G57+'68.02.05.02 SF.NICOLAE'!G57</f>
        <v>0</v>
      </c>
      <c r="H57" s="307">
        <f>'68.02.05.02- AP+IND+RAT'!H57+'68.02.05.02 SF.NICOLAE'!H57</f>
        <v>0</v>
      </c>
      <c r="I57" s="307">
        <f>'68.02.05.02- AP+IND+RAT'!I57+'68.02.05.02 SF.NICOLAE'!I57</f>
        <v>0</v>
      </c>
      <c r="J57" s="307">
        <f>'68.02.05.02- AP+IND+RAT'!J57+'68.02.05.02 SF.NICOLAE'!J57</f>
        <v>0</v>
      </c>
      <c r="K57" s="104"/>
      <c r="L57" s="103"/>
      <c r="M57" s="781"/>
    </row>
    <row r="58" spans="1:13" s="4" customFormat="1" ht="13.5" thickBot="1" x14ac:dyDescent="0.25">
      <c r="A58" s="689">
        <v>48</v>
      </c>
      <c r="B58" s="74" t="s">
        <v>93</v>
      </c>
      <c r="C58" s="56" t="s">
        <v>94</v>
      </c>
      <c r="D58" s="307">
        <f>'68.02.05.02- AP+IND+RAT'!D58+'68.02.05.02 SF.NICOLAE'!D58</f>
        <v>0</v>
      </c>
      <c r="E58" s="307">
        <f>'68.02.05.02- AP+IND+RAT'!E58+'68.02.05.02 SF.NICOLAE'!E58</f>
        <v>0</v>
      </c>
      <c r="F58" s="307">
        <f>'68.02.05.02- AP+IND+RAT'!F58+'68.02.05.02 SF.NICOLAE'!F58</f>
        <v>8</v>
      </c>
      <c r="G58" s="307">
        <f>'68.02.05.02- AP+IND+RAT'!G58+'68.02.05.02 SF.NICOLAE'!G58</f>
        <v>3</v>
      </c>
      <c r="H58" s="307">
        <f>'68.02.05.02- AP+IND+RAT'!H58+'68.02.05.02 SF.NICOLAE'!H58</f>
        <v>3</v>
      </c>
      <c r="I58" s="307">
        <f>'68.02.05.02- AP+IND+RAT'!I58+'68.02.05.02 SF.NICOLAE'!I58</f>
        <v>1</v>
      </c>
      <c r="J58" s="307">
        <f>'68.02.05.02- AP+IND+RAT'!J58+'68.02.05.02 SF.NICOLAE'!J58</f>
        <v>1</v>
      </c>
      <c r="K58" s="104"/>
      <c r="L58" s="103"/>
      <c r="M58" s="781"/>
    </row>
    <row r="59" spans="1:13" s="4" customFormat="1" ht="13.5" thickBot="1" x14ac:dyDescent="0.25">
      <c r="A59" s="689">
        <v>49</v>
      </c>
      <c r="B59" s="55" t="s">
        <v>95</v>
      </c>
      <c r="C59" s="56" t="s">
        <v>96</v>
      </c>
      <c r="D59" s="307">
        <f>'68.02.05.02- AP+IND+RAT'!D59+'68.02.05.02 SF.NICOLAE'!D59</f>
        <v>0</v>
      </c>
      <c r="E59" s="307">
        <f>'68.02.05.02- AP+IND+RAT'!E59+'68.02.05.02 SF.NICOLAE'!E59</f>
        <v>0</v>
      </c>
      <c r="F59" s="307">
        <f>'68.02.05.02- AP+IND+RAT'!F59+'68.02.05.02 SF.NICOLAE'!F59</f>
        <v>2</v>
      </c>
      <c r="G59" s="307">
        <f>'68.02.05.02- AP+IND+RAT'!G59+'68.02.05.02 SF.NICOLAE'!G59</f>
        <v>1</v>
      </c>
      <c r="H59" s="307">
        <f>'68.02.05.02- AP+IND+RAT'!H59+'68.02.05.02 SF.NICOLAE'!H59</f>
        <v>1</v>
      </c>
      <c r="I59" s="307">
        <f>'68.02.05.02- AP+IND+RAT'!I59+'68.02.05.02 SF.NICOLAE'!I59</f>
        <v>0</v>
      </c>
      <c r="J59" s="307">
        <f>'68.02.05.02- AP+IND+RAT'!J59+'68.02.05.02 SF.NICOLAE'!J59</f>
        <v>0</v>
      </c>
      <c r="K59" s="104"/>
      <c r="L59" s="103"/>
      <c r="M59" s="781"/>
    </row>
    <row r="60" spans="1:13" s="4" customFormat="1" ht="13.5" hidden="1" thickBot="1" x14ac:dyDescent="0.25">
      <c r="A60" s="689">
        <v>50</v>
      </c>
      <c r="B60" s="59" t="s">
        <v>97</v>
      </c>
      <c r="C60" s="41" t="s">
        <v>98</v>
      </c>
      <c r="D60" s="307">
        <f>'68.02.05.02- AP+IND+RAT'!D60+'68.02.05.02 SF.NICOLAE'!D60</f>
        <v>0</v>
      </c>
      <c r="E60" s="307">
        <f>'68.02.05.02- AP+IND+RAT'!E60+'68.02.05.02 SF.NICOLAE'!E60</f>
        <v>0</v>
      </c>
      <c r="F60" s="307">
        <f>'68.02.05.02- AP+IND+RAT'!F60+'68.02.05.02 SF.NICOLAE'!F60</f>
        <v>0</v>
      </c>
      <c r="G60" s="307">
        <f>'68.02.05.02- AP+IND+RAT'!G60+'68.02.05.02 SF.NICOLAE'!G60</f>
        <v>0</v>
      </c>
      <c r="H60" s="307">
        <f>'68.02.05.02- AP+IND+RAT'!H60+'68.02.05.02 SF.NICOLAE'!H60</f>
        <v>0</v>
      </c>
      <c r="I60" s="307">
        <f>'68.02.05.02- AP+IND+RAT'!I60+'68.02.05.02 SF.NICOLAE'!I60</f>
        <v>0</v>
      </c>
      <c r="J60" s="307">
        <f>'68.02.05.02- AP+IND+RAT'!J60+'68.02.05.02 SF.NICOLAE'!J60</f>
        <v>0</v>
      </c>
      <c r="K60" s="250"/>
      <c r="L60" s="91"/>
      <c r="M60" s="780"/>
    </row>
    <row r="61" spans="1:13" s="4" customFormat="1" ht="13.5" thickBot="1" x14ac:dyDescent="0.25">
      <c r="A61" s="689">
        <v>51</v>
      </c>
      <c r="B61" s="59" t="s">
        <v>99</v>
      </c>
      <c r="C61" s="41" t="s">
        <v>100</v>
      </c>
      <c r="D61" s="957">
        <f>'68.02.05.02- AP+IND+RAT'!D61+'68.02.05.02 SF.NICOLAE'!D61</f>
        <v>0</v>
      </c>
      <c r="E61" s="958">
        <f>'68.02.05.02- AP+IND+RAT'!E61+'68.02.05.02 SF.NICOLAE'!E61</f>
        <v>0</v>
      </c>
      <c r="F61" s="958">
        <f>'68.02.05.02- AP+IND+RAT'!F61+'68.02.05.02 SF.NICOLAE'!F61</f>
        <v>1</v>
      </c>
      <c r="G61" s="958">
        <f>'68.02.05.02- AP+IND+RAT'!G61+'68.02.05.02 SF.NICOLAE'!G61</f>
        <v>1</v>
      </c>
      <c r="H61" s="958">
        <f>'68.02.05.02- AP+IND+RAT'!H61+'68.02.05.02 SF.NICOLAE'!H61</f>
        <v>0</v>
      </c>
      <c r="I61" s="958">
        <f>'68.02.05.02- AP+IND+RAT'!I61+'68.02.05.02 SF.NICOLAE'!I61</f>
        <v>0</v>
      </c>
      <c r="J61" s="958">
        <f>'68.02.05.02- AP+IND+RAT'!J61+'68.02.05.02 SF.NICOLAE'!J61</f>
        <v>0</v>
      </c>
      <c r="K61" s="250"/>
      <c r="L61" s="91"/>
      <c r="M61" s="780"/>
    </row>
    <row r="62" spans="1:13" s="4" customFormat="1" ht="13.5" thickBot="1" x14ac:dyDescent="0.25">
      <c r="A62" s="689">
        <v>52</v>
      </c>
      <c r="B62" s="59" t="s">
        <v>101</v>
      </c>
      <c r="C62" s="41" t="s">
        <v>102</v>
      </c>
      <c r="D62" s="957">
        <f>'68.02.05.02- AP+IND+RAT'!D62+'68.02.05.02 SF.NICOLAE'!D62</f>
        <v>0</v>
      </c>
      <c r="E62" s="958">
        <f>'68.02.05.02- AP+IND+RAT'!E62+'68.02.05.02 SF.NICOLAE'!E62</f>
        <v>0</v>
      </c>
      <c r="F62" s="958">
        <f>'68.02.05.02- AP+IND+RAT'!F62+'68.02.05.02 SF.NICOLAE'!F62</f>
        <v>1</v>
      </c>
      <c r="G62" s="958">
        <f>'68.02.05.02- AP+IND+RAT'!G62+'68.02.05.02 SF.NICOLAE'!G62</f>
        <v>0</v>
      </c>
      <c r="H62" s="958">
        <f>'68.02.05.02- AP+IND+RAT'!H62+'68.02.05.02 SF.NICOLAE'!H62</f>
        <v>1</v>
      </c>
      <c r="I62" s="958">
        <f>'68.02.05.02- AP+IND+RAT'!I62+'68.02.05.02 SF.NICOLAE'!I62</f>
        <v>0</v>
      </c>
      <c r="J62" s="958">
        <f>'68.02.05.02- AP+IND+RAT'!J62+'68.02.05.02 SF.NICOLAE'!J62</f>
        <v>0</v>
      </c>
      <c r="K62" s="250"/>
      <c r="L62" s="91"/>
      <c r="M62" s="780"/>
    </row>
    <row r="63" spans="1:13" s="4" customFormat="1" ht="13.5" hidden="1" thickBot="1" x14ac:dyDescent="0.25">
      <c r="A63" s="689">
        <v>53</v>
      </c>
      <c r="B63" s="59" t="s">
        <v>234</v>
      </c>
      <c r="C63" s="41" t="s">
        <v>102</v>
      </c>
      <c r="D63" s="307">
        <f>'68.02.05.02- AP+IND+RAT'!D63+'68.02.05.02 SF.NICOLAE'!D63</f>
        <v>0</v>
      </c>
      <c r="E63" s="307">
        <f>'68.02.05.02- AP+IND+RAT'!E63+'68.02.05.02 SF.NICOLAE'!E63</f>
        <v>0</v>
      </c>
      <c r="F63" s="307">
        <f>'68.02.05.02- AP+IND+RAT'!F63+'68.02.05.02 SF.NICOLAE'!F63</f>
        <v>0</v>
      </c>
      <c r="G63" s="307">
        <f>'68.02.05.02- AP+IND+RAT'!G63+'68.02.05.02 SF.NICOLAE'!G63</f>
        <v>0</v>
      </c>
      <c r="H63" s="307">
        <f>'68.02.05.02- AP+IND+RAT'!H63+'68.02.05.02 SF.NICOLAE'!H63</f>
        <v>0</v>
      </c>
      <c r="I63" s="307">
        <f>'68.02.05.02- AP+IND+RAT'!I63+'68.02.05.02 SF.NICOLAE'!I63</f>
        <v>0</v>
      </c>
      <c r="J63" s="307">
        <f>'68.02.05.02- AP+IND+RAT'!J63+'68.02.05.02 SF.NICOLAE'!J63</f>
        <v>0</v>
      </c>
      <c r="K63" s="250"/>
      <c r="L63" s="91"/>
      <c r="M63" s="780"/>
    </row>
    <row r="64" spans="1:13" s="4" customFormat="1" ht="13.5" thickBot="1" x14ac:dyDescent="0.25">
      <c r="A64" s="689">
        <v>54</v>
      </c>
      <c r="B64" s="76" t="s">
        <v>104</v>
      </c>
      <c r="C64" s="56" t="s">
        <v>105</v>
      </c>
      <c r="D64" s="307">
        <f>'68.02.05.02- AP+IND+RAT'!D64+'68.02.05.02 SF.NICOLAE'!D64</f>
        <v>0</v>
      </c>
      <c r="E64" s="307">
        <f>'68.02.05.02- AP+IND+RAT'!E64+'68.02.05.02 SF.NICOLAE'!E64</f>
        <v>0</v>
      </c>
      <c r="F64" s="307">
        <f>'68.02.05.02- AP+IND+RAT'!F64+'68.02.05.02 SF.NICOLAE'!F64</f>
        <v>0</v>
      </c>
      <c r="G64" s="307">
        <f>'68.02.05.02- AP+IND+RAT'!G64+'68.02.05.02 SF.NICOLAE'!G64</f>
        <v>0</v>
      </c>
      <c r="H64" s="307">
        <f>'68.02.05.02- AP+IND+RAT'!H64+'68.02.05.02 SF.NICOLAE'!H64</f>
        <v>0</v>
      </c>
      <c r="I64" s="307">
        <f>'68.02.05.02- AP+IND+RAT'!I64+'68.02.05.02 SF.NICOLAE'!I64</f>
        <v>0</v>
      </c>
      <c r="J64" s="307">
        <f>'68.02.05.02- AP+IND+RAT'!J64+'68.02.05.02 SF.NICOLAE'!J64</f>
        <v>0</v>
      </c>
      <c r="K64" s="104"/>
      <c r="L64" s="103"/>
      <c r="M64" s="781"/>
    </row>
    <row r="65" spans="1:13" s="4" customFormat="1" ht="13.5" thickBot="1" x14ac:dyDescent="0.25">
      <c r="A65" s="689">
        <v>55</v>
      </c>
      <c r="B65" s="768" t="s">
        <v>106</v>
      </c>
      <c r="C65" s="765" t="s">
        <v>107</v>
      </c>
      <c r="D65" s="307">
        <f>'68.02.05.02- AP+IND+RAT'!D65+'68.02.05.02 SF.NICOLAE'!D65</f>
        <v>0</v>
      </c>
      <c r="E65" s="307">
        <f>'68.02.05.02- AP+IND+RAT'!E65+'68.02.05.02 SF.NICOLAE'!E65</f>
        <v>0</v>
      </c>
      <c r="F65" s="307">
        <f>'68.02.05.02- AP+IND+RAT'!F65+'68.02.05.02 SF.NICOLAE'!F65</f>
        <v>0</v>
      </c>
      <c r="G65" s="307">
        <f>'68.02.05.02- AP+IND+RAT'!G65+'68.02.05.02 SF.NICOLAE'!G65</f>
        <v>0</v>
      </c>
      <c r="H65" s="307">
        <f>'68.02.05.02- AP+IND+RAT'!H65+'68.02.05.02 SF.NICOLAE'!H65</f>
        <v>0</v>
      </c>
      <c r="I65" s="307">
        <f>'68.02.05.02- AP+IND+RAT'!I65+'68.02.05.02 SF.NICOLAE'!I65</f>
        <v>0</v>
      </c>
      <c r="J65" s="307">
        <f>'68.02.05.02- AP+IND+RAT'!J65+'68.02.05.02 SF.NICOLAE'!J65</f>
        <v>0</v>
      </c>
      <c r="K65" s="104"/>
      <c r="L65" s="103"/>
      <c r="M65" s="781"/>
    </row>
    <row r="66" spans="1:13" s="4" customFormat="1" ht="13.5" hidden="1" thickBot="1" x14ac:dyDescent="0.25">
      <c r="A66" s="689">
        <v>56</v>
      </c>
      <c r="B66" s="59" t="s">
        <v>108</v>
      </c>
      <c r="C66" s="41" t="s">
        <v>109</v>
      </c>
      <c r="D66" s="307">
        <f>'68.02.05.02- AP+IND+RAT'!D66+'68.02.05.02 SF.NICOLAE'!D66</f>
        <v>0</v>
      </c>
      <c r="E66" s="307">
        <f>'68.02.05.02- AP+IND+RAT'!E66+'68.02.05.02 SF.NICOLAE'!E66</f>
        <v>0</v>
      </c>
      <c r="F66" s="307">
        <f>'68.02.05.02- AP+IND+RAT'!F66+'68.02.05.02 SF.NICOLAE'!F66</f>
        <v>0</v>
      </c>
      <c r="G66" s="307">
        <f>'68.02.05.02- AP+IND+RAT'!G66+'68.02.05.02 SF.NICOLAE'!G66</f>
        <v>0</v>
      </c>
      <c r="H66" s="307">
        <f>'68.02.05.02- AP+IND+RAT'!H66+'68.02.05.02 SF.NICOLAE'!H66</f>
        <v>0</v>
      </c>
      <c r="I66" s="307">
        <f>'68.02.05.02- AP+IND+RAT'!I66+'68.02.05.02 SF.NICOLAE'!I66</f>
        <v>0</v>
      </c>
      <c r="J66" s="307">
        <f>'68.02.05.02- AP+IND+RAT'!J66+'68.02.05.02 SF.NICOLAE'!J66</f>
        <v>0</v>
      </c>
      <c r="K66" s="250"/>
      <c r="L66" s="91"/>
      <c r="M66" s="780"/>
    </row>
    <row r="67" spans="1:13" s="4" customFormat="1" ht="13.5" hidden="1" thickBot="1" x14ac:dyDescent="0.25">
      <c r="A67" s="689">
        <v>57</v>
      </c>
      <c r="B67" s="59" t="s">
        <v>110</v>
      </c>
      <c r="C67" s="41" t="s">
        <v>111</v>
      </c>
      <c r="D67" s="307">
        <f>'68.02.05.02- AP+IND+RAT'!D67+'68.02.05.02 SF.NICOLAE'!D67</f>
        <v>0</v>
      </c>
      <c r="E67" s="307">
        <f>'68.02.05.02- AP+IND+RAT'!E67+'68.02.05.02 SF.NICOLAE'!E67</f>
        <v>0</v>
      </c>
      <c r="F67" s="307">
        <f>'68.02.05.02- AP+IND+RAT'!F67+'68.02.05.02 SF.NICOLAE'!F67</f>
        <v>0</v>
      </c>
      <c r="G67" s="307">
        <f>'68.02.05.02- AP+IND+RAT'!G67+'68.02.05.02 SF.NICOLAE'!G67</f>
        <v>0</v>
      </c>
      <c r="H67" s="307">
        <f>'68.02.05.02- AP+IND+RAT'!H67+'68.02.05.02 SF.NICOLAE'!H67</f>
        <v>0</v>
      </c>
      <c r="I67" s="307">
        <f>'68.02.05.02- AP+IND+RAT'!I67+'68.02.05.02 SF.NICOLAE'!I67</f>
        <v>0</v>
      </c>
      <c r="J67" s="307">
        <f>'68.02.05.02- AP+IND+RAT'!J67+'68.02.05.02 SF.NICOLAE'!J67</f>
        <v>0</v>
      </c>
      <c r="K67" s="250"/>
      <c r="L67" s="91"/>
      <c r="M67" s="780"/>
    </row>
    <row r="68" spans="1:13" s="4" customFormat="1" ht="13.5" hidden="1" thickBot="1" x14ac:dyDescent="0.25">
      <c r="A68" s="689">
        <v>58</v>
      </c>
      <c r="B68" s="59" t="s">
        <v>235</v>
      </c>
      <c r="C68" s="41" t="s">
        <v>111</v>
      </c>
      <c r="D68" s="307">
        <f>'68.02.05.02- AP+IND+RAT'!D68+'68.02.05.02 SF.NICOLAE'!D68</f>
        <v>0</v>
      </c>
      <c r="E68" s="307">
        <f>'68.02.05.02- AP+IND+RAT'!E68+'68.02.05.02 SF.NICOLAE'!E68</f>
        <v>0</v>
      </c>
      <c r="F68" s="307">
        <f>'68.02.05.02- AP+IND+RAT'!F68+'68.02.05.02 SF.NICOLAE'!F68</f>
        <v>0</v>
      </c>
      <c r="G68" s="307">
        <f>'68.02.05.02- AP+IND+RAT'!G68+'68.02.05.02 SF.NICOLAE'!G68</f>
        <v>0</v>
      </c>
      <c r="H68" s="307">
        <f>'68.02.05.02- AP+IND+RAT'!H68+'68.02.05.02 SF.NICOLAE'!H68</f>
        <v>0</v>
      </c>
      <c r="I68" s="307">
        <f>'68.02.05.02- AP+IND+RAT'!I68+'68.02.05.02 SF.NICOLAE'!I68</f>
        <v>0</v>
      </c>
      <c r="J68" s="307">
        <f>'68.02.05.02- AP+IND+RAT'!J68+'68.02.05.02 SF.NICOLAE'!J68</f>
        <v>0</v>
      </c>
      <c r="K68" s="250"/>
      <c r="L68" s="91"/>
      <c r="M68" s="780"/>
    </row>
    <row r="69" spans="1:13" s="4" customFormat="1" ht="13.5" hidden="1" thickBot="1" x14ac:dyDescent="0.25">
      <c r="A69" s="689">
        <v>59</v>
      </c>
      <c r="B69" s="77" t="s">
        <v>113</v>
      </c>
      <c r="C69" s="56" t="s">
        <v>114</v>
      </c>
      <c r="D69" s="307">
        <f>'68.02.05.02- AP+IND+RAT'!D69+'68.02.05.02 SF.NICOLAE'!D69</f>
        <v>0</v>
      </c>
      <c r="E69" s="307">
        <f>'68.02.05.02- AP+IND+RAT'!E69+'68.02.05.02 SF.NICOLAE'!E69</f>
        <v>0</v>
      </c>
      <c r="F69" s="307">
        <f>'68.02.05.02- AP+IND+RAT'!F69+'68.02.05.02 SF.NICOLAE'!F69</f>
        <v>0</v>
      </c>
      <c r="G69" s="307">
        <f>'68.02.05.02- AP+IND+RAT'!G69+'68.02.05.02 SF.NICOLAE'!G69</f>
        <v>0</v>
      </c>
      <c r="H69" s="307">
        <f>'68.02.05.02- AP+IND+RAT'!H69+'68.02.05.02 SF.NICOLAE'!H69</f>
        <v>0</v>
      </c>
      <c r="I69" s="307">
        <f>'68.02.05.02- AP+IND+RAT'!I69+'68.02.05.02 SF.NICOLAE'!I69</f>
        <v>0</v>
      </c>
      <c r="J69" s="307">
        <f>'68.02.05.02- AP+IND+RAT'!J69+'68.02.05.02 SF.NICOLAE'!J69</f>
        <v>0</v>
      </c>
      <c r="K69" s="104"/>
      <c r="L69" s="103"/>
      <c r="M69" s="781"/>
    </row>
    <row r="70" spans="1:13" s="4" customFormat="1" ht="13.5" hidden="1" thickBot="1" x14ac:dyDescent="0.25">
      <c r="A70" s="689">
        <v>60</v>
      </c>
      <c r="B70" s="59" t="s">
        <v>115</v>
      </c>
      <c r="C70" s="41" t="s">
        <v>116</v>
      </c>
      <c r="D70" s="307">
        <f>'68.02.05.02- AP+IND+RAT'!D70+'68.02.05.02 SF.NICOLAE'!D70</f>
        <v>0</v>
      </c>
      <c r="E70" s="307">
        <f>'68.02.05.02- AP+IND+RAT'!E70+'68.02.05.02 SF.NICOLAE'!E70</f>
        <v>0</v>
      </c>
      <c r="F70" s="307">
        <f>'68.02.05.02- AP+IND+RAT'!F70+'68.02.05.02 SF.NICOLAE'!F70</f>
        <v>0</v>
      </c>
      <c r="G70" s="307">
        <f>'68.02.05.02- AP+IND+RAT'!G70+'68.02.05.02 SF.NICOLAE'!G70</f>
        <v>0</v>
      </c>
      <c r="H70" s="307">
        <f>'68.02.05.02- AP+IND+RAT'!H70+'68.02.05.02 SF.NICOLAE'!H70</f>
        <v>0</v>
      </c>
      <c r="I70" s="307">
        <f>'68.02.05.02- AP+IND+RAT'!I70+'68.02.05.02 SF.NICOLAE'!I70</f>
        <v>0</v>
      </c>
      <c r="J70" s="307">
        <f>'68.02.05.02- AP+IND+RAT'!J70+'68.02.05.02 SF.NICOLAE'!J70</f>
        <v>0</v>
      </c>
      <c r="K70" s="250"/>
      <c r="L70" s="91"/>
      <c r="M70" s="780"/>
    </row>
    <row r="71" spans="1:13" s="4" customFormat="1" ht="13.5" hidden="1" thickBot="1" x14ac:dyDescent="0.25">
      <c r="A71" s="689">
        <v>61</v>
      </c>
      <c r="B71" s="59" t="s">
        <v>117</v>
      </c>
      <c r="C71" s="41" t="s">
        <v>118</v>
      </c>
      <c r="D71" s="307">
        <f>'68.02.05.02- AP+IND+RAT'!D71+'68.02.05.02 SF.NICOLAE'!D71</f>
        <v>0</v>
      </c>
      <c r="E71" s="307">
        <f>'68.02.05.02- AP+IND+RAT'!E71+'68.02.05.02 SF.NICOLAE'!E71</f>
        <v>0</v>
      </c>
      <c r="F71" s="307">
        <f>'68.02.05.02- AP+IND+RAT'!F71+'68.02.05.02 SF.NICOLAE'!F71</f>
        <v>0</v>
      </c>
      <c r="G71" s="307">
        <f>'68.02.05.02- AP+IND+RAT'!G71+'68.02.05.02 SF.NICOLAE'!G71</f>
        <v>0</v>
      </c>
      <c r="H71" s="307">
        <f>'68.02.05.02- AP+IND+RAT'!H71+'68.02.05.02 SF.NICOLAE'!H71</f>
        <v>0</v>
      </c>
      <c r="I71" s="307">
        <f>'68.02.05.02- AP+IND+RAT'!I71+'68.02.05.02 SF.NICOLAE'!I71</f>
        <v>0</v>
      </c>
      <c r="J71" s="307">
        <f>'68.02.05.02- AP+IND+RAT'!J71+'68.02.05.02 SF.NICOLAE'!J71</f>
        <v>0</v>
      </c>
      <c r="K71" s="250"/>
      <c r="L71" s="91"/>
      <c r="M71" s="780"/>
    </row>
    <row r="72" spans="1:13" s="4" customFormat="1" ht="13.5" hidden="1" thickBot="1" x14ac:dyDescent="0.25">
      <c r="A72" s="689">
        <v>62</v>
      </c>
      <c r="B72" s="55" t="s">
        <v>119</v>
      </c>
      <c r="C72" s="56" t="s">
        <v>120</v>
      </c>
      <c r="D72" s="307">
        <f>'68.02.05.02- AP+IND+RAT'!D72+'68.02.05.02 SF.NICOLAE'!D72</f>
        <v>0</v>
      </c>
      <c r="E72" s="307">
        <f>'68.02.05.02- AP+IND+RAT'!E72+'68.02.05.02 SF.NICOLAE'!E72</f>
        <v>0</v>
      </c>
      <c r="F72" s="307">
        <f>'68.02.05.02- AP+IND+RAT'!F72+'68.02.05.02 SF.NICOLAE'!F72</f>
        <v>0</v>
      </c>
      <c r="G72" s="307">
        <f>'68.02.05.02- AP+IND+RAT'!G72+'68.02.05.02 SF.NICOLAE'!G72</f>
        <v>0</v>
      </c>
      <c r="H72" s="307">
        <f>'68.02.05.02- AP+IND+RAT'!H72+'68.02.05.02 SF.NICOLAE'!H72</f>
        <v>0</v>
      </c>
      <c r="I72" s="307">
        <f>'68.02.05.02- AP+IND+RAT'!I72+'68.02.05.02 SF.NICOLAE'!I72</f>
        <v>0</v>
      </c>
      <c r="J72" s="307">
        <f>'68.02.05.02- AP+IND+RAT'!J72+'68.02.05.02 SF.NICOLAE'!J72</f>
        <v>0</v>
      </c>
      <c r="K72" s="104"/>
      <c r="L72" s="103"/>
      <c r="M72" s="781"/>
    </row>
    <row r="73" spans="1:13" s="4" customFormat="1" ht="13.5" hidden="1" thickBot="1" x14ac:dyDescent="0.25">
      <c r="A73" s="689">
        <v>63</v>
      </c>
      <c r="B73" s="55" t="s">
        <v>121</v>
      </c>
      <c r="C73" s="56" t="s">
        <v>122</v>
      </c>
      <c r="D73" s="307">
        <f>'68.02.05.02- AP+IND+RAT'!D73+'68.02.05.02 SF.NICOLAE'!D73</f>
        <v>0</v>
      </c>
      <c r="E73" s="307">
        <f>'68.02.05.02- AP+IND+RAT'!E73+'68.02.05.02 SF.NICOLAE'!E73</f>
        <v>0</v>
      </c>
      <c r="F73" s="307">
        <f>'68.02.05.02- AP+IND+RAT'!F73+'68.02.05.02 SF.NICOLAE'!F73</f>
        <v>0</v>
      </c>
      <c r="G73" s="307">
        <f>'68.02.05.02- AP+IND+RAT'!G73+'68.02.05.02 SF.NICOLAE'!G73</f>
        <v>0</v>
      </c>
      <c r="H73" s="307">
        <f>'68.02.05.02- AP+IND+RAT'!H73+'68.02.05.02 SF.NICOLAE'!H73</f>
        <v>0</v>
      </c>
      <c r="I73" s="307">
        <f>'68.02.05.02- AP+IND+RAT'!I73+'68.02.05.02 SF.NICOLAE'!I73</f>
        <v>0</v>
      </c>
      <c r="J73" s="307">
        <f>'68.02.05.02- AP+IND+RAT'!J73+'68.02.05.02 SF.NICOLAE'!J73</f>
        <v>0</v>
      </c>
      <c r="K73" s="104"/>
      <c r="L73" s="103"/>
      <c r="M73" s="781"/>
    </row>
    <row r="74" spans="1:13" s="4" customFormat="1" ht="13.5" hidden="1" thickBot="1" x14ac:dyDescent="0.25">
      <c r="A74" s="689">
        <v>64</v>
      </c>
      <c r="B74" s="55" t="s">
        <v>123</v>
      </c>
      <c r="C74" s="56" t="s">
        <v>124</v>
      </c>
      <c r="D74" s="307">
        <f>'68.02.05.02- AP+IND+RAT'!D74+'68.02.05.02 SF.NICOLAE'!D74</f>
        <v>0</v>
      </c>
      <c r="E74" s="307">
        <f>'68.02.05.02- AP+IND+RAT'!E74+'68.02.05.02 SF.NICOLAE'!E74</f>
        <v>0</v>
      </c>
      <c r="F74" s="307">
        <f>'68.02.05.02- AP+IND+RAT'!F74+'68.02.05.02 SF.NICOLAE'!F74</f>
        <v>0</v>
      </c>
      <c r="G74" s="307">
        <f>'68.02.05.02- AP+IND+RAT'!G74+'68.02.05.02 SF.NICOLAE'!G74</f>
        <v>0</v>
      </c>
      <c r="H74" s="307">
        <f>'68.02.05.02- AP+IND+RAT'!H74+'68.02.05.02 SF.NICOLAE'!H74</f>
        <v>0</v>
      </c>
      <c r="I74" s="307">
        <f>'68.02.05.02- AP+IND+RAT'!I74+'68.02.05.02 SF.NICOLAE'!I74</f>
        <v>0</v>
      </c>
      <c r="J74" s="307">
        <f>'68.02.05.02- AP+IND+RAT'!J74+'68.02.05.02 SF.NICOLAE'!J74</f>
        <v>0</v>
      </c>
      <c r="K74" s="104"/>
      <c r="L74" s="103"/>
      <c r="M74" s="781"/>
    </row>
    <row r="75" spans="1:13" s="4" customFormat="1" ht="13.5" hidden="1" thickBot="1" x14ac:dyDescent="0.25">
      <c r="A75" s="689">
        <v>65</v>
      </c>
      <c r="B75" s="55" t="s">
        <v>125</v>
      </c>
      <c r="C75" s="56" t="s">
        <v>126</v>
      </c>
      <c r="D75" s="307">
        <f>'68.02.05.02- AP+IND+RAT'!D75+'68.02.05.02 SF.NICOLAE'!D75</f>
        <v>0</v>
      </c>
      <c r="E75" s="307">
        <f>'68.02.05.02- AP+IND+RAT'!E75+'68.02.05.02 SF.NICOLAE'!E75</f>
        <v>0</v>
      </c>
      <c r="F75" s="307">
        <f>'68.02.05.02- AP+IND+RAT'!F75+'68.02.05.02 SF.NICOLAE'!F75</f>
        <v>0</v>
      </c>
      <c r="G75" s="307">
        <f>'68.02.05.02- AP+IND+RAT'!G75+'68.02.05.02 SF.NICOLAE'!G75</f>
        <v>0</v>
      </c>
      <c r="H75" s="307">
        <f>'68.02.05.02- AP+IND+RAT'!H75+'68.02.05.02 SF.NICOLAE'!H75</f>
        <v>0</v>
      </c>
      <c r="I75" s="307">
        <f>'68.02.05.02- AP+IND+RAT'!I75+'68.02.05.02 SF.NICOLAE'!I75</f>
        <v>0</v>
      </c>
      <c r="J75" s="307">
        <f>'68.02.05.02- AP+IND+RAT'!J75+'68.02.05.02 SF.NICOLAE'!J75</f>
        <v>0</v>
      </c>
      <c r="K75" s="104"/>
      <c r="L75" s="103"/>
      <c r="M75" s="781"/>
    </row>
    <row r="76" spans="1:13" s="4" customFormat="1" ht="13.5" thickBot="1" x14ac:dyDescent="0.25">
      <c r="A76" s="689">
        <v>66</v>
      </c>
      <c r="B76" s="55" t="s">
        <v>127</v>
      </c>
      <c r="C76" s="56" t="s">
        <v>128</v>
      </c>
      <c r="D76" s="307">
        <f>'68.02.05.02- AP+IND+RAT'!D76+'68.02.05.02 SF.NICOLAE'!D76</f>
        <v>0</v>
      </c>
      <c r="E76" s="307">
        <f>'68.02.05.02- AP+IND+RAT'!E76+'68.02.05.02 SF.NICOLAE'!E76</f>
        <v>0</v>
      </c>
      <c r="F76" s="307">
        <f>'68.02.05.02- AP+IND+RAT'!F76+'68.02.05.02 SF.NICOLAE'!F76</f>
        <v>3</v>
      </c>
      <c r="G76" s="307">
        <f>'68.02.05.02- AP+IND+RAT'!G76+'68.02.05.02 SF.NICOLAE'!G76</f>
        <v>2</v>
      </c>
      <c r="H76" s="307">
        <f>'68.02.05.02- AP+IND+RAT'!H76+'68.02.05.02 SF.NICOLAE'!H76</f>
        <v>1</v>
      </c>
      <c r="I76" s="307">
        <f>'68.02.05.02- AP+IND+RAT'!I76+'68.02.05.02 SF.NICOLAE'!I76</f>
        <v>0</v>
      </c>
      <c r="J76" s="307">
        <f>'68.02.05.02- AP+IND+RAT'!J76+'68.02.05.02 SF.NICOLAE'!J76</f>
        <v>0</v>
      </c>
      <c r="K76" s="296"/>
      <c r="L76" s="103"/>
      <c r="M76" s="781"/>
    </row>
    <row r="77" spans="1:13" s="4" customFormat="1" ht="13.5" hidden="1" thickBot="1" x14ac:dyDescent="0.25">
      <c r="A77" s="689">
        <v>67</v>
      </c>
      <c r="B77" s="59" t="s">
        <v>129</v>
      </c>
      <c r="C77" s="41" t="s">
        <v>130</v>
      </c>
      <c r="D77" s="307">
        <f>'68.02.05.02- AP+IND+RAT'!D77+'68.02.05.02 SF.NICOLAE'!D77</f>
        <v>0</v>
      </c>
      <c r="E77" s="307">
        <f>'68.02.05.02- AP+IND+RAT'!E77+'68.02.05.02 SF.NICOLAE'!E77</f>
        <v>0</v>
      </c>
      <c r="F77" s="307">
        <f>'68.02.05.02- AP+IND+RAT'!F77+'68.02.05.02 SF.NICOLAE'!F77</f>
        <v>0</v>
      </c>
      <c r="G77" s="307">
        <f>'68.02.05.02- AP+IND+RAT'!G77+'68.02.05.02 SF.NICOLAE'!G77</f>
        <v>0</v>
      </c>
      <c r="H77" s="307">
        <f>'68.02.05.02- AP+IND+RAT'!H77+'68.02.05.02 SF.NICOLAE'!H77</f>
        <v>0</v>
      </c>
      <c r="I77" s="307">
        <f>'68.02.05.02- AP+IND+RAT'!I77+'68.02.05.02 SF.NICOLAE'!I77</f>
        <v>0</v>
      </c>
      <c r="J77" s="307">
        <f>'68.02.05.02- AP+IND+RAT'!J77+'68.02.05.02 SF.NICOLAE'!J77</f>
        <v>0</v>
      </c>
      <c r="K77" s="296"/>
      <c r="L77" s="103"/>
      <c r="M77" s="781"/>
    </row>
    <row r="78" spans="1:13" s="4" customFormat="1" ht="13.5" thickBot="1" x14ac:dyDescent="0.25">
      <c r="A78" s="689">
        <v>68</v>
      </c>
      <c r="B78" s="59" t="s">
        <v>131</v>
      </c>
      <c r="C78" s="56" t="s">
        <v>132</v>
      </c>
      <c r="D78" s="307">
        <f>'68.02.05.02- AP+IND+RAT'!D78+'68.02.05.02 SF.NICOLAE'!D78</f>
        <v>0</v>
      </c>
      <c r="E78" s="307">
        <f>'68.02.05.02- AP+IND+RAT'!E78+'68.02.05.02 SF.NICOLAE'!E78</f>
        <v>0</v>
      </c>
      <c r="F78" s="307">
        <f>'68.02.05.02- AP+IND+RAT'!F78+'68.02.05.02 SF.NICOLAE'!F78</f>
        <v>3</v>
      </c>
      <c r="G78" s="307">
        <f>'68.02.05.02- AP+IND+RAT'!G78+'68.02.05.02 SF.NICOLAE'!G78</f>
        <v>2</v>
      </c>
      <c r="H78" s="307">
        <f>'68.02.05.02- AP+IND+RAT'!H78+'68.02.05.02 SF.NICOLAE'!H78</f>
        <v>1</v>
      </c>
      <c r="I78" s="307">
        <f>'68.02.05.02- AP+IND+RAT'!I78+'68.02.05.02 SF.NICOLAE'!I78</f>
        <v>0</v>
      </c>
      <c r="J78" s="307">
        <f>'68.02.05.02- AP+IND+RAT'!J78+'68.02.05.02 SF.NICOLAE'!J78</f>
        <v>0</v>
      </c>
      <c r="K78" s="297"/>
      <c r="L78" s="91"/>
      <c r="M78" s="780"/>
    </row>
    <row r="79" spans="1:13" s="4" customFormat="1" ht="13.5" thickBot="1" x14ac:dyDescent="0.25">
      <c r="A79" s="689">
        <v>69</v>
      </c>
      <c r="B79" s="59" t="s">
        <v>357</v>
      </c>
      <c r="C79" s="41"/>
      <c r="D79" s="957">
        <f>'68.02.05.02- AP+IND+RAT'!D79+'68.02.05.02 SF.NICOLAE'!D79</f>
        <v>0</v>
      </c>
      <c r="E79" s="958">
        <f>'68.02.05.02- AP+IND+RAT'!E79+'68.02.05.02 SF.NICOLAE'!E79</f>
        <v>0</v>
      </c>
      <c r="F79" s="958">
        <f>'68.02.05.02- AP+IND+RAT'!F79+'68.02.05.02 SF.NICOLAE'!F79</f>
        <v>3</v>
      </c>
      <c r="G79" s="958">
        <f>'68.02.05.02- AP+IND+RAT'!G79+'68.02.05.02 SF.NICOLAE'!G79</f>
        <v>2</v>
      </c>
      <c r="H79" s="958">
        <f>'68.02.05.02- AP+IND+RAT'!H79+'68.02.05.02 SF.NICOLAE'!H79</f>
        <v>1</v>
      </c>
      <c r="I79" s="958">
        <f>'68.02.05.02- AP+IND+RAT'!I79+'68.02.05.02 SF.NICOLAE'!I79</f>
        <v>0</v>
      </c>
      <c r="J79" s="958">
        <f>'68.02.05.02- AP+IND+RAT'!J79+'68.02.05.02 SF.NICOLAE'!J79</f>
        <v>0</v>
      </c>
      <c r="K79" s="250"/>
      <c r="L79" s="91"/>
      <c r="M79" s="780"/>
    </row>
    <row r="80" spans="1:13" s="4" customFormat="1" ht="13.5" hidden="1" thickBot="1" x14ac:dyDescent="0.25">
      <c r="A80" s="689">
        <v>70</v>
      </c>
      <c r="B80" s="311" t="s">
        <v>131</v>
      </c>
      <c r="C80" s="312"/>
      <c r="D80" s="957">
        <f>'68.02.05.02- AP+IND+RAT'!D80+'68.02.05.02 SF.NICOLAE'!D80</f>
        <v>0</v>
      </c>
      <c r="E80" s="958">
        <f>'68.02.05.02- AP+IND+RAT'!E80+'68.02.05.02 SF.NICOLAE'!E80</f>
        <v>0</v>
      </c>
      <c r="F80" s="958">
        <f>'68.02.05.02- AP+IND+RAT'!F80+'68.02.05.02 SF.NICOLAE'!F80</f>
        <v>0</v>
      </c>
      <c r="G80" s="958">
        <f>'68.02.05.02- AP+IND+RAT'!G80+'68.02.05.02 SF.NICOLAE'!G80</f>
        <v>0</v>
      </c>
      <c r="H80" s="958">
        <f>'68.02.05.02- AP+IND+RAT'!H80+'68.02.05.02 SF.NICOLAE'!H80</f>
        <v>0</v>
      </c>
      <c r="I80" s="958">
        <f>'68.02.05.02- AP+IND+RAT'!I80+'68.02.05.02 SF.NICOLAE'!I80</f>
        <v>0</v>
      </c>
      <c r="J80" s="958">
        <f>'68.02.05.02- AP+IND+RAT'!J80+'68.02.05.02 SF.NICOLAE'!J80</f>
        <v>0</v>
      </c>
      <c r="K80" s="265"/>
      <c r="L80" s="266"/>
      <c r="M80" s="786"/>
    </row>
    <row r="81" spans="1:13" s="4" customFormat="1" ht="13.5" hidden="1" thickBot="1" x14ac:dyDescent="0.25">
      <c r="A81" s="689">
        <v>71</v>
      </c>
      <c r="B81" s="302" t="s">
        <v>238</v>
      </c>
      <c r="C81" s="86"/>
      <c r="D81" s="957">
        <f>'68.02.05.02- AP+IND+RAT'!D81+'68.02.05.02 SF.NICOLAE'!D81</f>
        <v>0</v>
      </c>
      <c r="E81" s="958">
        <f>'68.02.05.02- AP+IND+RAT'!E81+'68.02.05.02 SF.NICOLAE'!E81</f>
        <v>0</v>
      </c>
      <c r="F81" s="958">
        <f>'68.02.05.02- AP+IND+RAT'!F81+'68.02.05.02 SF.NICOLAE'!F81</f>
        <v>0</v>
      </c>
      <c r="G81" s="958">
        <f>'68.02.05.02- AP+IND+RAT'!G81+'68.02.05.02 SF.NICOLAE'!G81</f>
        <v>0</v>
      </c>
      <c r="H81" s="958">
        <f>'68.02.05.02- AP+IND+RAT'!H81+'68.02.05.02 SF.NICOLAE'!H81</f>
        <v>0</v>
      </c>
      <c r="I81" s="958">
        <f>'68.02.05.02- AP+IND+RAT'!I81+'68.02.05.02 SF.NICOLAE'!I81</f>
        <v>0</v>
      </c>
      <c r="J81" s="958">
        <f>'68.02.05.02- AP+IND+RAT'!J81+'68.02.05.02 SF.NICOLAE'!J81</f>
        <v>0</v>
      </c>
      <c r="K81" s="89"/>
      <c r="L81" s="88"/>
      <c r="M81" s="788"/>
    </row>
    <row r="82" spans="1:13" s="4" customFormat="1" ht="13.5" hidden="1" thickBot="1" x14ac:dyDescent="0.25">
      <c r="A82" s="689">
        <v>72</v>
      </c>
      <c r="B82" s="59" t="s">
        <v>134</v>
      </c>
      <c r="C82" s="41"/>
      <c r="D82" s="957">
        <f>'68.02.05.02- AP+IND+RAT'!D82+'68.02.05.02 SF.NICOLAE'!D82</f>
        <v>0</v>
      </c>
      <c r="E82" s="958">
        <f>'68.02.05.02- AP+IND+RAT'!E82+'68.02.05.02 SF.NICOLAE'!E82</f>
        <v>0</v>
      </c>
      <c r="F82" s="958">
        <f>'68.02.05.02- AP+IND+RAT'!F82+'68.02.05.02 SF.NICOLAE'!F82</f>
        <v>0</v>
      </c>
      <c r="G82" s="958">
        <f>'68.02.05.02- AP+IND+RAT'!G82+'68.02.05.02 SF.NICOLAE'!G82</f>
        <v>0</v>
      </c>
      <c r="H82" s="958">
        <f>'68.02.05.02- AP+IND+RAT'!H82+'68.02.05.02 SF.NICOLAE'!H82</f>
        <v>0</v>
      </c>
      <c r="I82" s="958">
        <f>'68.02.05.02- AP+IND+RAT'!I82+'68.02.05.02 SF.NICOLAE'!I82</f>
        <v>0</v>
      </c>
      <c r="J82" s="958">
        <f>'68.02.05.02- AP+IND+RAT'!J82+'68.02.05.02 SF.NICOLAE'!J82</f>
        <v>0</v>
      </c>
      <c r="K82" s="250"/>
      <c r="L82" s="91"/>
      <c r="M82" s="780"/>
    </row>
    <row r="83" spans="1:13" s="4" customFormat="1" ht="13.5" thickBot="1" x14ac:dyDescent="0.25">
      <c r="A83" s="689">
        <v>73</v>
      </c>
      <c r="B83" s="59" t="s">
        <v>341</v>
      </c>
      <c r="C83" s="41"/>
      <c r="D83" s="957">
        <f>'68.02.05.02- AP+IND+RAT'!D83+'68.02.05.02 SF.NICOLAE'!D83</f>
        <v>0</v>
      </c>
      <c r="E83" s="958">
        <f>'68.02.05.02- AP+IND+RAT'!E83+'68.02.05.02 SF.NICOLAE'!E83</f>
        <v>0</v>
      </c>
      <c r="F83" s="958">
        <f>'68.02.05.02- AP+IND+RAT'!F83+'68.02.05.02 SF.NICOLAE'!F83</f>
        <v>0</v>
      </c>
      <c r="G83" s="958">
        <f>'68.02.05.02- AP+IND+RAT'!G83+'68.02.05.02 SF.NICOLAE'!G83</f>
        <v>0</v>
      </c>
      <c r="H83" s="958">
        <f>'68.02.05.02- AP+IND+RAT'!H83+'68.02.05.02 SF.NICOLAE'!H83</f>
        <v>0</v>
      </c>
      <c r="I83" s="958">
        <f>'68.02.05.02- AP+IND+RAT'!I83+'68.02.05.02 SF.NICOLAE'!I83</f>
        <v>0</v>
      </c>
      <c r="J83" s="958">
        <f>'68.02.05.02- AP+IND+RAT'!J83+'68.02.05.02 SF.NICOLAE'!J83</f>
        <v>0</v>
      </c>
      <c r="K83" s="250"/>
      <c r="L83" s="91"/>
      <c r="M83" s="780"/>
    </row>
    <row r="84" spans="1:13" s="4" customFormat="1" ht="13.5" hidden="1" thickBot="1" x14ac:dyDescent="0.25">
      <c r="A84" s="689">
        <v>74</v>
      </c>
      <c r="B84" s="90" t="s">
        <v>376</v>
      </c>
      <c r="C84" s="41"/>
      <c r="D84" s="307">
        <f>'68.02.05.02- AP+IND+RAT'!D84+'68.02.05.02 SF.NICOLAE'!D84</f>
        <v>0</v>
      </c>
      <c r="E84" s="307">
        <f>'68.02.05.02- AP+IND+RAT'!E84+'68.02.05.02 SF.NICOLAE'!E84</f>
        <v>0</v>
      </c>
      <c r="F84" s="307">
        <f>'68.02.05.02- AP+IND+RAT'!F84+'68.02.05.02 SF.NICOLAE'!F84</f>
        <v>0</v>
      </c>
      <c r="G84" s="307">
        <f>'68.02.05.02- AP+IND+RAT'!G84+'68.02.05.02 SF.NICOLAE'!G84</f>
        <v>0</v>
      </c>
      <c r="H84" s="307">
        <f>'68.02.05.02- AP+IND+RAT'!H84+'68.02.05.02 SF.NICOLAE'!H84</f>
        <v>0</v>
      </c>
      <c r="I84" s="307">
        <f>'68.02.05.02- AP+IND+RAT'!I84+'68.02.05.02 SF.NICOLAE'!I84</f>
        <v>0</v>
      </c>
      <c r="J84" s="307">
        <f>'68.02.05.02- AP+IND+RAT'!J84+'68.02.05.02 SF.NICOLAE'!J84</f>
        <v>0</v>
      </c>
      <c r="K84" s="250"/>
      <c r="L84" s="91"/>
      <c r="M84" s="780"/>
    </row>
    <row r="85" spans="1:13" s="4" customFormat="1" ht="13.5" hidden="1" thickBot="1" x14ac:dyDescent="0.25">
      <c r="A85" s="689">
        <v>75</v>
      </c>
      <c r="B85" s="90" t="s">
        <v>136</v>
      </c>
      <c r="C85" s="41"/>
      <c r="D85" s="307">
        <f>'68.02.05.02- AP+IND+RAT'!D85+'68.02.05.02 SF.NICOLAE'!D85</f>
        <v>0</v>
      </c>
      <c r="E85" s="307">
        <f>'68.02.05.02- AP+IND+RAT'!E85+'68.02.05.02 SF.NICOLAE'!E85</f>
        <v>0</v>
      </c>
      <c r="F85" s="307">
        <f>'68.02.05.02- AP+IND+RAT'!F85+'68.02.05.02 SF.NICOLAE'!F85</f>
        <v>0</v>
      </c>
      <c r="G85" s="307">
        <f>'68.02.05.02- AP+IND+RAT'!G85+'68.02.05.02 SF.NICOLAE'!G85</f>
        <v>0</v>
      </c>
      <c r="H85" s="307">
        <f>'68.02.05.02- AP+IND+RAT'!H85+'68.02.05.02 SF.NICOLAE'!H85</f>
        <v>0</v>
      </c>
      <c r="I85" s="307">
        <f>'68.02.05.02- AP+IND+RAT'!I85+'68.02.05.02 SF.NICOLAE'!I85</f>
        <v>0</v>
      </c>
      <c r="J85" s="307">
        <f>'68.02.05.02- AP+IND+RAT'!J85+'68.02.05.02 SF.NICOLAE'!J85</f>
        <v>0</v>
      </c>
      <c r="K85" s="250"/>
      <c r="L85" s="91"/>
      <c r="M85" s="780"/>
    </row>
    <row r="86" spans="1:13" s="4" customFormat="1" ht="13.5" hidden="1" thickBot="1" x14ac:dyDescent="0.25">
      <c r="A86" s="689">
        <v>76</v>
      </c>
      <c r="B86" s="90" t="s">
        <v>137</v>
      </c>
      <c r="C86" s="41"/>
      <c r="D86" s="307">
        <f>'68.02.05.02- AP+IND+RAT'!D86+'68.02.05.02 SF.NICOLAE'!D86</f>
        <v>0</v>
      </c>
      <c r="E86" s="307">
        <f>'68.02.05.02- AP+IND+RAT'!E86+'68.02.05.02 SF.NICOLAE'!E86</f>
        <v>0</v>
      </c>
      <c r="F86" s="307">
        <f>'68.02.05.02- AP+IND+RAT'!F86+'68.02.05.02 SF.NICOLAE'!F86</f>
        <v>0</v>
      </c>
      <c r="G86" s="307">
        <f>'68.02.05.02- AP+IND+RAT'!G86+'68.02.05.02 SF.NICOLAE'!G86</f>
        <v>0</v>
      </c>
      <c r="H86" s="307">
        <f>'68.02.05.02- AP+IND+RAT'!H86+'68.02.05.02 SF.NICOLAE'!H86</f>
        <v>0</v>
      </c>
      <c r="I86" s="307">
        <f>'68.02.05.02- AP+IND+RAT'!I86+'68.02.05.02 SF.NICOLAE'!I86</f>
        <v>0</v>
      </c>
      <c r="J86" s="307">
        <f>'68.02.05.02- AP+IND+RAT'!J86+'68.02.05.02 SF.NICOLAE'!J86</f>
        <v>0</v>
      </c>
      <c r="K86" s="250"/>
      <c r="L86" s="91"/>
      <c r="M86" s="780"/>
    </row>
    <row r="87" spans="1:13" s="4" customFormat="1" ht="13.5" hidden="1" thickBot="1" x14ac:dyDescent="0.25">
      <c r="A87" s="689">
        <v>77</v>
      </c>
      <c r="B87" s="90" t="s">
        <v>138</v>
      </c>
      <c r="C87" s="41"/>
      <c r="D87" s="307">
        <f>'68.02.05.02- AP+IND+RAT'!D87+'68.02.05.02 SF.NICOLAE'!D87</f>
        <v>0</v>
      </c>
      <c r="E87" s="307">
        <f>'68.02.05.02- AP+IND+RAT'!E87+'68.02.05.02 SF.NICOLAE'!E87</f>
        <v>0</v>
      </c>
      <c r="F87" s="307">
        <f>'68.02.05.02- AP+IND+RAT'!F87+'68.02.05.02 SF.NICOLAE'!F87</f>
        <v>0</v>
      </c>
      <c r="G87" s="307">
        <f>'68.02.05.02- AP+IND+RAT'!G87+'68.02.05.02 SF.NICOLAE'!G87</f>
        <v>0</v>
      </c>
      <c r="H87" s="307">
        <f>'68.02.05.02- AP+IND+RAT'!H87+'68.02.05.02 SF.NICOLAE'!H87</f>
        <v>0</v>
      </c>
      <c r="I87" s="307">
        <f>'68.02.05.02- AP+IND+RAT'!I87+'68.02.05.02 SF.NICOLAE'!I87</f>
        <v>0</v>
      </c>
      <c r="J87" s="307">
        <f>'68.02.05.02- AP+IND+RAT'!J87+'68.02.05.02 SF.NICOLAE'!J87</f>
        <v>0</v>
      </c>
      <c r="K87" s="250"/>
      <c r="L87" s="91"/>
      <c r="M87" s="780"/>
    </row>
    <row r="88" spans="1:13" s="4" customFormat="1" ht="13.35" hidden="1" customHeight="1" thickBot="1" x14ac:dyDescent="0.25">
      <c r="A88" s="689">
        <v>78</v>
      </c>
      <c r="B88" s="100" t="s">
        <v>140</v>
      </c>
      <c r="C88" s="56" t="s">
        <v>141</v>
      </c>
      <c r="D88" s="307">
        <f>'68.02.05.02- AP+IND+RAT'!D88+'68.02.05.02 SF.NICOLAE'!D88</f>
        <v>0</v>
      </c>
      <c r="E88" s="307">
        <f>'68.02.05.02- AP+IND+RAT'!E88+'68.02.05.02 SF.NICOLAE'!E88</f>
        <v>0</v>
      </c>
      <c r="F88" s="307">
        <f>'68.02.05.02- AP+IND+RAT'!F88+'68.02.05.02 SF.NICOLAE'!F88</f>
        <v>0</v>
      </c>
      <c r="G88" s="307">
        <f>'68.02.05.02- AP+IND+RAT'!G88+'68.02.05.02 SF.NICOLAE'!G88</f>
        <v>0</v>
      </c>
      <c r="H88" s="307">
        <f>'68.02.05.02- AP+IND+RAT'!H88+'68.02.05.02 SF.NICOLAE'!H88</f>
        <v>0</v>
      </c>
      <c r="I88" s="307">
        <f>'68.02.05.02- AP+IND+RAT'!I88+'68.02.05.02 SF.NICOLAE'!I88</f>
        <v>0</v>
      </c>
      <c r="J88" s="307">
        <f>'68.02.05.02- AP+IND+RAT'!J88+'68.02.05.02 SF.NICOLAE'!J88</f>
        <v>0</v>
      </c>
      <c r="K88" s="104"/>
      <c r="L88" s="103"/>
      <c r="M88" s="781"/>
    </row>
    <row r="89" spans="1:13" s="4" customFormat="1" ht="38.25" hidden="1" customHeight="1" thickBot="1" x14ac:dyDescent="0.25">
      <c r="A89" s="689">
        <v>79</v>
      </c>
      <c r="B89" s="100" t="s">
        <v>142</v>
      </c>
      <c r="C89" s="101" t="s">
        <v>143</v>
      </c>
      <c r="D89" s="307">
        <f>'68.02.05.02- AP+IND+RAT'!D89+'68.02.05.02 SF.NICOLAE'!D89</f>
        <v>0</v>
      </c>
      <c r="E89" s="307">
        <f>'68.02.05.02- AP+IND+RAT'!E89+'68.02.05.02 SF.NICOLAE'!E89</f>
        <v>0</v>
      </c>
      <c r="F89" s="307">
        <f>'68.02.05.02- AP+IND+RAT'!F89+'68.02.05.02 SF.NICOLAE'!F89</f>
        <v>0</v>
      </c>
      <c r="G89" s="307">
        <f>'68.02.05.02- AP+IND+RAT'!G89+'68.02.05.02 SF.NICOLAE'!G89</f>
        <v>0</v>
      </c>
      <c r="H89" s="307">
        <f>'68.02.05.02- AP+IND+RAT'!H89+'68.02.05.02 SF.NICOLAE'!H89</f>
        <v>0</v>
      </c>
      <c r="I89" s="307">
        <f>'68.02.05.02- AP+IND+RAT'!I89+'68.02.05.02 SF.NICOLAE'!I89</f>
        <v>0</v>
      </c>
      <c r="J89" s="307">
        <f>'68.02.05.02- AP+IND+RAT'!J89+'68.02.05.02 SF.NICOLAE'!J89</f>
        <v>0</v>
      </c>
      <c r="K89" s="104"/>
      <c r="L89" s="103"/>
      <c r="M89" s="781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307">
        <f>'68.02.05.02- AP+IND+RAT'!D90+'68.02.05.02 SF.NICOLAE'!D90</f>
        <v>0</v>
      </c>
      <c r="E90" s="307">
        <f>'68.02.05.02- AP+IND+RAT'!E90+'68.02.05.02 SF.NICOLAE'!E90</f>
        <v>0</v>
      </c>
      <c r="F90" s="307">
        <f>'68.02.05.02- AP+IND+RAT'!F90+'68.02.05.02 SF.NICOLAE'!F90</f>
        <v>0</v>
      </c>
      <c r="G90" s="307">
        <f>'68.02.05.02- AP+IND+RAT'!G90+'68.02.05.02 SF.NICOLAE'!G90</f>
        <v>0</v>
      </c>
      <c r="H90" s="307">
        <f>'68.02.05.02- AP+IND+RAT'!H90+'68.02.05.02 SF.NICOLAE'!H90</f>
        <v>0</v>
      </c>
      <c r="I90" s="307">
        <f>'68.02.05.02- AP+IND+RAT'!I90+'68.02.05.02 SF.NICOLAE'!I90</f>
        <v>0</v>
      </c>
      <c r="J90" s="307">
        <f>'68.02.05.02- AP+IND+RAT'!J90+'68.02.05.02 SF.NICOLAE'!J90</f>
        <v>0</v>
      </c>
      <c r="K90" s="109"/>
      <c r="L90" s="108"/>
      <c r="M90" s="864"/>
    </row>
    <row r="91" spans="1:13" s="4" customFormat="1" ht="13.5" hidden="1" thickBot="1" x14ac:dyDescent="0.25">
      <c r="A91" s="689">
        <v>81</v>
      </c>
      <c r="B91" s="35" t="s">
        <v>146</v>
      </c>
      <c r="C91" s="69" t="s">
        <v>147</v>
      </c>
      <c r="D91" s="307">
        <f>'68.02.05.02- AP+IND+RAT'!D91+'68.02.05.02 SF.NICOLAE'!D91</f>
        <v>0</v>
      </c>
      <c r="E91" s="307">
        <f>'68.02.05.02- AP+IND+RAT'!E91+'68.02.05.02 SF.NICOLAE'!E91</f>
        <v>0</v>
      </c>
      <c r="F91" s="307">
        <f>'68.02.05.02- AP+IND+RAT'!F91+'68.02.05.02 SF.NICOLAE'!F91</f>
        <v>0</v>
      </c>
      <c r="G91" s="307">
        <f>'68.02.05.02- AP+IND+RAT'!G91+'68.02.05.02 SF.NICOLAE'!G91</f>
        <v>0</v>
      </c>
      <c r="H91" s="307">
        <f>'68.02.05.02- AP+IND+RAT'!H91+'68.02.05.02 SF.NICOLAE'!H91</f>
        <v>0</v>
      </c>
      <c r="I91" s="307">
        <f>'68.02.05.02- AP+IND+RAT'!I91+'68.02.05.02 SF.NICOLAE'!I91</f>
        <v>0</v>
      </c>
      <c r="J91" s="307">
        <f>'68.02.05.02- AP+IND+RAT'!J91+'68.02.05.02 SF.NICOLAE'!J91</f>
        <v>0</v>
      </c>
      <c r="K91" s="112"/>
      <c r="L91" s="111"/>
      <c r="M91" s="865"/>
    </row>
    <row r="92" spans="1:13" s="4" customFormat="1" ht="13.5" hidden="1" thickBot="1" x14ac:dyDescent="0.25">
      <c r="A92" s="689">
        <v>82</v>
      </c>
      <c r="B92" s="55" t="s">
        <v>148</v>
      </c>
      <c r="C92" s="56" t="s">
        <v>149</v>
      </c>
      <c r="D92" s="307">
        <f>'68.02.05.02- AP+IND+RAT'!D92+'68.02.05.02 SF.NICOLAE'!D92</f>
        <v>0</v>
      </c>
      <c r="E92" s="307">
        <f>'68.02.05.02- AP+IND+RAT'!E92+'68.02.05.02 SF.NICOLAE'!E92</f>
        <v>0</v>
      </c>
      <c r="F92" s="307">
        <f>'68.02.05.02- AP+IND+RAT'!F92+'68.02.05.02 SF.NICOLAE'!F92</f>
        <v>53982</v>
      </c>
      <c r="G92" s="307">
        <f>'68.02.05.02- AP+IND+RAT'!G92+'68.02.05.02 SF.NICOLAE'!G92</f>
        <v>17465</v>
      </c>
      <c r="H92" s="307">
        <f>'68.02.05.02- AP+IND+RAT'!H92+'68.02.05.02 SF.NICOLAE'!H92</f>
        <v>18286</v>
      </c>
      <c r="I92" s="307">
        <f>'68.02.05.02- AP+IND+RAT'!I92+'68.02.05.02 SF.NICOLAE'!I92</f>
        <v>17961</v>
      </c>
      <c r="J92" s="307">
        <f>'68.02.05.02- AP+IND+RAT'!J92+'68.02.05.02 SF.NICOLAE'!J92</f>
        <v>270</v>
      </c>
      <c r="K92" s="104"/>
      <c r="L92" s="103"/>
      <c r="M92" s="781"/>
    </row>
    <row r="93" spans="1:13" s="4" customFormat="1" ht="13.5" thickBot="1" x14ac:dyDescent="0.25">
      <c r="A93" s="689">
        <v>83</v>
      </c>
      <c r="B93" s="115" t="s">
        <v>150</v>
      </c>
      <c r="C93" s="56" t="s">
        <v>151</v>
      </c>
      <c r="D93" s="281">
        <f>'68.02.05.02- AP+IND+RAT'!D93+'68.02.05.02 SF.NICOLAE'!D93</f>
        <v>0</v>
      </c>
      <c r="E93" s="281">
        <f>'68.02.05.02- AP+IND+RAT'!E93+'68.02.05.02 SF.NICOLAE'!E93</f>
        <v>0</v>
      </c>
      <c r="F93" s="281">
        <f>'68.02.05.02- AP+IND+RAT'!F93+'68.02.05.02 SF.NICOLAE'!F93</f>
        <v>53982</v>
      </c>
      <c r="G93" s="281">
        <f>'68.02.05.02- AP+IND+RAT'!G93+'68.02.05.02 SF.NICOLAE'!G93</f>
        <v>17465</v>
      </c>
      <c r="H93" s="281">
        <f>'68.02.05.02- AP+IND+RAT'!H93+'68.02.05.02 SF.NICOLAE'!H93</f>
        <v>18286</v>
      </c>
      <c r="I93" s="281">
        <f>'68.02.05.02- AP+IND+RAT'!I93+'68.02.05.02 SF.NICOLAE'!I93</f>
        <v>17961</v>
      </c>
      <c r="J93" s="281">
        <f>'68.02.05.02- AP+IND+RAT'!J93+'68.02.05.02 SF.NICOLAE'!J93</f>
        <v>270</v>
      </c>
      <c r="K93" s="104">
        <f>'68.02.05.02- AP+IND+RAT'!K92</f>
        <v>55741.813199999997</v>
      </c>
      <c r="L93" s="104">
        <f>'68.02.05.02- AP+IND+RAT'!L92</f>
        <v>57382.865999999995</v>
      </c>
      <c r="M93" s="1031">
        <f>'68.02.05.02- AP+IND+RAT'!M92</f>
        <v>59076.821160000007</v>
      </c>
    </row>
    <row r="94" spans="1:13" s="4" customFormat="1" ht="13.5" thickBot="1" x14ac:dyDescent="0.25">
      <c r="A94" s="689">
        <v>84</v>
      </c>
      <c r="B94" s="115" t="s">
        <v>152</v>
      </c>
      <c r="C94" s="56" t="s">
        <v>153</v>
      </c>
      <c r="D94" s="307">
        <f>'68.02.05.02- AP+IND+RAT'!D94+'68.02.05.02 SF.NICOLAE'!D94</f>
        <v>0</v>
      </c>
      <c r="E94" s="307">
        <f>'68.02.05.02- AP+IND+RAT'!E94+'68.02.05.02 SF.NICOLAE'!E94</f>
        <v>0</v>
      </c>
      <c r="F94" s="307">
        <f>'68.02.05.02- AP+IND+RAT'!F94+'68.02.05.02 SF.NICOLAE'!F94</f>
        <v>52916</v>
      </c>
      <c r="G94" s="307">
        <f>'68.02.05.02- AP+IND+RAT'!G94+'68.02.05.02 SF.NICOLAE'!G94</f>
        <v>17194</v>
      </c>
      <c r="H94" s="307">
        <f>'68.02.05.02- AP+IND+RAT'!H94+'68.02.05.02 SF.NICOLAE'!H94</f>
        <v>18021</v>
      </c>
      <c r="I94" s="307">
        <f>'68.02.05.02- AP+IND+RAT'!I94+'68.02.05.02 SF.NICOLAE'!I94</f>
        <v>17701</v>
      </c>
      <c r="J94" s="307">
        <f>'68.02.05.02- AP+IND+RAT'!J94+'68.02.05.02 SF.NICOLAE'!J94</f>
        <v>0</v>
      </c>
      <c r="K94" s="104"/>
      <c r="L94" s="103"/>
      <c r="M94" s="781"/>
    </row>
    <row r="95" spans="1:13" s="4" customFormat="1" ht="13.5" thickBot="1" x14ac:dyDescent="0.25">
      <c r="A95" s="689">
        <v>85</v>
      </c>
      <c r="B95" s="116" t="s">
        <v>154</v>
      </c>
      <c r="C95" s="41"/>
      <c r="D95" s="958">
        <f>'68.02.05.02- AP+IND+RAT'!D95+'68.02.05.02 SF.NICOLAE'!D95</f>
        <v>0</v>
      </c>
      <c r="E95" s="958">
        <f>'68.02.05.02- AP+IND+RAT'!E95+'68.02.05.02 SF.NICOLAE'!E95</f>
        <v>0</v>
      </c>
      <c r="F95" s="958">
        <f>'68.02.05.02- AP+IND+RAT'!F95+'68.02.05.02 SF.NICOLAE'!F95</f>
        <v>51809</v>
      </c>
      <c r="G95" s="958">
        <f>'68.02.05.02- AP+IND+RAT'!G95+'68.02.05.02 SF.NICOLAE'!G95</f>
        <v>17046</v>
      </c>
      <c r="H95" s="958">
        <f>'68.02.05.02- AP+IND+RAT'!H95+'68.02.05.02 SF.NICOLAE'!H95</f>
        <v>17632</v>
      </c>
      <c r="I95" s="958">
        <f>'68.02.05.02- AP+IND+RAT'!I95+'68.02.05.02 SF.NICOLAE'!I95</f>
        <v>17131</v>
      </c>
      <c r="J95" s="958">
        <f>'68.02.05.02- AP+IND+RAT'!J95+'68.02.05.02 SF.NICOLAE'!J95</f>
        <v>0</v>
      </c>
      <c r="K95" s="118"/>
      <c r="L95" s="103"/>
      <c r="M95" s="781"/>
    </row>
    <row r="96" spans="1:13" s="4" customFormat="1" ht="13.5" thickBot="1" x14ac:dyDescent="0.25">
      <c r="A96" s="689">
        <v>86</v>
      </c>
      <c r="B96" s="116" t="s">
        <v>155</v>
      </c>
      <c r="C96" s="41"/>
      <c r="D96" s="958">
        <f>'68.02.05.02- AP+IND+RAT'!D96+'68.02.05.02 SF.NICOLAE'!D96</f>
        <v>0</v>
      </c>
      <c r="E96" s="958">
        <f>'68.02.05.02- AP+IND+RAT'!E96+'68.02.05.02 SF.NICOLAE'!E96</f>
        <v>0</v>
      </c>
      <c r="F96" s="958">
        <f>'68.02.05.02- AP+IND+RAT'!F96+'68.02.05.02 SF.NICOLAE'!F96</f>
        <v>1107</v>
      </c>
      <c r="G96" s="958">
        <f>'68.02.05.02- AP+IND+RAT'!G96+'68.02.05.02 SF.NICOLAE'!G96</f>
        <v>148</v>
      </c>
      <c r="H96" s="958">
        <f>'68.02.05.02- AP+IND+RAT'!H96+'68.02.05.02 SF.NICOLAE'!H96</f>
        <v>389</v>
      </c>
      <c r="I96" s="958">
        <f>'68.02.05.02- AP+IND+RAT'!I96+'68.02.05.02 SF.NICOLAE'!I96</f>
        <v>570</v>
      </c>
      <c r="J96" s="958">
        <f>'68.02.05.02- AP+IND+RAT'!J96+'68.02.05.02 SF.NICOLAE'!J96</f>
        <v>0</v>
      </c>
      <c r="K96" s="118"/>
      <c r="L96" s="103"/>
      <c r="M96" s="781"/>
    </row>
    <row r="97" spans="1:13" s="4" customFormat="1" ht="13.5" hidden="1" thickBot="1" x14ac:dyDescent="0.25">
      <c r="A97" s="689">
        <v>87</v>
      </c>
      <c r="B97" s="116" t="s">
        <v>156</v>
      </c>
      <c r="C97" s="41"/>
      <c r="D97" s="307">
        <f>'68.02.05.02- AP+IND+RAT'!D97+'68.02.05.02 SF.NICOLAE'!D97</f>
        <v>0</v>
      </c>
      <c r="E97" s="307">
        <f>'68.02.05.02- AP+IND+RAT'!E97+'68.02.05.02 SF.NICOLAE'!E97</f>
        <v>0</v>
      </c>
      <c r="F97" s="307">
        <f>'68.02.05.02- AP+IND+RAT'!F97+'68.02.05.02 SF.NICOLAE'!F97</f>
        <v>0</v>
      </c>
      <c r="G97" s="307">
        <f>'68.02.05.02- AP+IND+RAT'!G97+'68.02.05.02 SF.NICOLAE'!G97</f>
        <v>0</v>
      </c>
      <c r="H97" s="307">
        <f>'68.02.05.02- AP+IND+RAT'!H97+'68.02.05.02 SF.NICOLAE'!H97</f>
        <v>0</v>
      </c>
      <c r="I97" s="307">
        <f>'68.02.05.02- AP+IND+RAT'!I97+'68.02.05.02 SF.NICOLAE'!I97</f>
        <v>0</v>
      </c>
      <c r="J97" s="307">
        <f>'68.02.05.02- AP+IND+RAT'!J97+'68.02.05.02 SF.NICOLAE'!J97</f>
        <v>0</v>
      </c>
      <c r="K97" s="118"/>
      <c r="L97" s="103"/>
      <c r="M97" s="781"/>
    </row>
    <row r="98" spans="1:13" s="4" customFormat="1" ht="13.5" hidden="1" thickBot="1" x14ac:dyDescent="0.25">
      <c r="A98" s="689">
        <v>88</v>
      </c>
      <c r="B98" s="119" t="s">
        <v>157</v>
      </c>
      <c r="C98" s="41"/>
      <c r="D98" s="307">
        <f>'68.02.05.02- AP+IND+RAT'!D98+'68.02.05.02 SF.NICOLAE'!D98</f>
        <v>0</v>
      </c>
      <c r="E98" s="307">
        <f>'68.02.05.02- AP+IND+RAT'!E98+'68.02.05.02 SF.NICOLAE'!E98</f>
        <v>0</v>
      </c>
      <c r="F98" s="307">
        <f>'68.02.05.02- AP+IND+RAT'!F98+'68.02.05.02 SF.NICOLAE'!F98</f>
        <v>0</v>
      </c>
      <c r="G98" s="307">
        <f>'68.02.05.02- AP+IND+RAT'!G98+'68.02.05.02 SF.NICOLAE'!G98</f>
        <v>0</v>
      </c>
      <c r="H98" s="307">
        <f>'68.02.05.02- AP+IND+RAT'!H98+'68.02.05.02 SF.NICOLAE'!H98</f>
        <v>0</v>
      </c>
      <c r="I98" s="307">
        <f>'68.02.05.02- AP+IND+RAT'!I98+'68.02.05.02 SF.NICOLAE'!I98</f>
        <v>0</v>
      </c>
      <c r="J98" s="307">
        <f>'68.02.05.02- AP+IND+RAT'!J98+'68.02.05.02 SF.NICOLAE'!J98</f>
        <v>0</v>
      </c>
      <c r="K98" s="118"/>
      <c r="L98" s="103"/>
      <c r="M98" s="781"/>
    </row>
    <row r="99" spans="1:13" s="4" customFormat="1" ht="13.5" hidden="1" thickBot="1" x14ac:dyDescent="0.25">
      <c r="A99" s="689">
        <v>89</v>
      </c>
      <c r="B99" s="120" t="s">
        <v>158</v>
      </c>
      <c r="C99" s="41"/>
      <c r="D99" s="307">
        <f>'68.02.05.02- AP+IND+RAT'!D99+'68.02.05.02 SF.NICOLAE'!D99</f>
        <v>0</v>
      </c>
      <c r="E99" s="307">
        <f>'68.02.05.02- AP+IND+RAT'!E99+'68.02.05.02 SF.NICOLAE'!E99</f>
        <v>0</v>
      </c>
      <c r="F99" s="307">
        <f>'68.02.05.02- AP+IND+RAT'!F99+'68.02.05.02 SF.NICOLAE'!F99</f>
        <v>0</v>
      </c>
      <c r="G99" s="307">
        <f>'68.02.05.02- AP+IND+RAT'!G99+'68.02.05.02 SF.NICOLAE'!G99</f>
        <v>0</v>
      </c>
      <c r="H99" s="307">
        <f>'68.02.05.02- AP+IND+RAT'!H99+'68.02.05.02 SF.NICOLAE'!H99</f>
        <v>0</v>
      </c>
      <c r="I99" s="307">
        <f>'68.02.05.02- AP+IND+RAT'!I99+'68.02.05.02 SF.NICOLAE'!I99</f>
        <v>0</v>
      </c>
      <c r="J99" s="307">
        <f>'68.02.05.02- AP+IND+RAT'!J99+'68.02.05.02 SF.NICOLAE'!J99</f>
        <v>0</v>
      </c>
      <c r="K99" s="118"/>
      <c r="L99" s="103"/>
      <c r="M99" s="781"/>
    </row>
    <row r="100" spans="1:13" s="4" customFormat="1" ht="13.5" hidden="1" thickBot="1" x14ac:dyDescent="0.25">
      <c r="A100" s="689">
        <v>90</v>
      </c>
      <c r="B100" s="121" t="s">
        <v>159</v>
      </c>
      <c r="C100" s="41"/>
      <c r="D100" s="307">
        <f>'68.02.05.02- AP+IND+RAT'!D100+'68.02.05.02 SF.NICOLAE'!D100</f>
        <v>0</v>
      </c>
      <c r="E100" s="307">
        <f>'68.02.05.02- AP+IND+RAT'!E100+'68.02.05.02 SF.NICOLAE'!E100</f>
        <v>0</v>
      </c>
      <c r="F100" s="307">
        <f>'68.02.05.02- AP+IND+RAT'!F100+'68.02.05.02 SF.NICOLAE'!F100</f>
        <v>0</v>
      </c>
      <c r="G100" s="307">
        <f>'68.02.05.02- AP+IND+RAT'!G100+'68.02.05.02 SF.NICOLAE'!G100</f>
        <v>0</v>
      </c>
      <c r="H100" s="307">
        <f>'68.02.05.02- AP+IND+RAT'!H100+'68.02.05.02 SF.NICOLAE'!H100</f>
        <v>0</v>
      </c>
      <c r="I100" s="307">
        <f>'68.02.05.02- AP+IND+RAT'!I100+'68.02.05.02 SF.NICOLAE'!I100</f>
        <v>0</v>
      </c>
      <c r="J100" s="307">
        <f>'68.02.05.02- AP+IND+RAT'!J100+'68.02.05.02 SF.NICOLAE'!J100</f>
        <v>0</v>
      </c>
      <c r="K100" s="118"/>
      <c r="L100" s="103"/>
      <c r="M100" s="781"/>
    </row>
    <row r="101" spans="1:13" s="4" customFormat="1" ht="13.5" hidden="1" thickBot="1" x14ac:dyDescent="0.25">
      <c r="A101" s="689">
        <v>91</v>
      </c>
      <c r="B101" s="122" t="s">
        <v>160</v>
      </c>
      <c r="C101" s="41"/>
      <c r="D101" s="307">
        <f>'68.02.05.02- AP+IND+RAT'!D101+'68.02.05.02 SF.NICOLAE'!D101</f>
        <v>0</v>
      </c>
      <c r="E101" s="307">
        <f>'68.02.05.02- AP+IND+RAT'!E101+'68.02.05.02 SF.NICOLAE'!E101</f>
        <v>0</v>
      </c>
      <c r="F101" s="307">
        <f>'68.02.05.02- AP+IND+RAT'!F101+'68.02.05.02 SF.NICOLAE'!F101</f>
        <v>0</v>
      </c>
      <c r="G101" s="307">
        <f>'68.02.05.02- AP+IND+RAT'!G101+'68.02.05.02 SF.NICOLAE'!G101</f>
        <v>0</v>
      </c>
      <c r="H101" s="307">
        <f>'68.02.05.02- AP+IND+RAT'!H101+'68.02.05.02 SF.NICOLAE'!H101</f>
        <v>0</v>
      </c>
      <c r="I101" s="307">
        <f>'68.02.05.02- AP+IND+RAT'!I101+'68.02.05.02 SF.NICOLAE'!I101</f>
        <v>0</v>
      </c>
      <c r="J101" s="307">
        <f>'68.02.05.02- AP+IND+RAT'!J101+'68.02.05.02 SF.NICOLAE'!J101</f>
        <v>0</v>
      </c>
      <c r="K101" s="118"/>
      <c r="L101" s="103"/>
      <c r="M101" s="781"/>
    </row>
    <row r="102" spans="1:13" s="4" customFormat="1" ht="13.5" hidden="1" thickBot="1" x14ac:dyDescent="0.25">
      <c r="A102" s="689">
        <v>92</v>
      </c>
      <c r="B102" s="122" t="s">
        <v>161</v>
      </c>
      <c r="C102" s="41"/>
      <c r="D102" s="307">
        <f>'68.02.05.02- AP+IND+RAT'!D102+'68.02.05.02 SF.NICOLAE'!D102</f>
        <v>0</v>
      </c>
      <c r="E102" s="307">
        <f>'68.02.05.02- AP+IND+RAT'!E102+'68.02.05.02 SF.NICOLAE'!E102</f>
        <v>0</v>
      </c>
      <c r="F102" s="307">
        <f>'68.02.05.02- AP+IND+RAT'!F102+'68.02.05.02 SF.NICOLAE'!F102</f>
        <v>0</v>
      </c>
      <c r="G102" s="307">
        <f>'68.02.05.02- AP+IND+RAT'!G102+'68.02.05.02 SF.NICOLAE'!G102</f>
        <v>0</v>
      </c>
      <c r="H102" s="307">
        <f>'68.02.05.02- AP+IND+RAT'!H102+'68.02.05.02 SF.NICOLAE'!H102</f>
        <v>0</v>
      </c>
      <c r="I102" s="307">
        <f>'68.02.05.02- AP+IND+RAT'!I102+'68.02.05.02 SF.NICOLAE'!I102</f>
        <v>0</v>
      </c>
      <c r="J102" s="307">
        <f>'68.02.05.02- AP+IND+RAT'!J102+'68.02.05.02 SF.NICOLAE'!J102</f>
        <v>0</v>
      </c>
      <c r="K102" s="104"/>
      <c r="L102" s="103"/>
      <c r="M102" s="781"/>
    </row>
    <row r="103" spans="1:13" s="4" customFormat="1" ht="13.5" hidden="1" thickBot="1" x14ac:dyDescent="0.25">
      <c r="A103" s="689">
        <v>93</v>
      </c>
      <c r="B103" s="320" t="s">
        <v>162</v>
      </c>
      <c r="C103" s="41"/>
      <c r="D103" s="307">
        <f>'68.02.05.02- AP+IND+RAT'!D103+'68.02.05.02 SF.NICOLAE'!D103</f>
        <v>0</v>
      </c>
      <c r="E103" s="307">
        <f>'68.02.05.02- AP+IND+RAT'!E103+'68.02.05.02 SF.NICOLAE'!E103</f>
        <v>0</v>
      </c>
      <c r="F103" s="307">
        <f>'68.02.05.02- AP+IND+RAT'!F103+'68.02.05.02 SF.NICOLAE'!F103</f>
        <v>0</v>
      </c>
      <c r="G103" s="307">
        <f>'68.02.05.02- AP+IND+RAT'!G103+'68.02.05.02 SF.NICOLAE'!G103</f>
        <v>0</v>
      </c>
      <c r="H103" s="307">
        <f>'68.02.05.02- AP+IND+RAT'!H103+'68.02.05.02 SF.NICOLAE'!H103</f>
        <v>0</v>
      </c>
      <c r="I103" s="307">
        <f>'68.02.05.02- AP+IND+RAT'!I103+'68.02.05.02 SF.NICOLAE'!I103</f>
        <v>0</v>
      </c>
      <c r="J103" s="307">
        <f>'68.02.05.02- AP+IND+RAT'!J103+'68.02.05.02 SF.NICOLAE'!J103</f>
        <v>0</v>
      </c>
      <c r="K103" s="104"/>
      <c r="L103" s="103"/>
      <c r="M103" s="781"/>
    </row>
    <row r="104" spans="1:13" s="4" customFormat="1" ht="13.5" hidden="1" thickBot="1" x14ac:dyDescent="0.25">
      <c r="A104" s="689">
        <v>94</v>
      </c>
      <c r="B104" s="122" t="s">
        <v>163</v>
      </c>
      <c r="C104" s="41"/>
      <c r="D104" s="307">
        <f>'68.02.05.02- AP+IND+RAT'!D104+'68.02.05.02 SF.NICOLAE'!D104</f>
        <v>0</v>
      </c>
      <c r="E104" s="307">
        <f>'68.02.05.02- AP+IND+RAT'!E104+'68.02.05.02 SF.NICOLAE'!E104</f>
        <v>0</v>
      </c>
      <c r="F104" s="307">
        <f>'68.02.05.02- AP+IND+RAT'!F104+'68.02.05.02 SF.NICOLAE'!F104</f>
        <v>0</v>
      </c>
      <c r="G104" s="307">
        <f>'68.02.05.02- AP+IND+RAT'!G104+'68.02.05.02 SF.NICOLAE'!G104</f>
        <v>0</v>
      </c>
      <c r="H104" s="307">
        <f>'68.02.05.02- AP+IND+RAT'!H104+'68.02.05.02 SF.NICOLAE'!H104</f>
        <v>0</v>
      </c>
      <c r="I104" s="307">
        <f>'68.02.05.02- AP+IND+RAT'!I104+'68.02.05.02 SF.NICOLAE'!I104</f>
        <v>0</v>
      </c>
      <c r="J104" s="307">
        <f>'68.02.05.02- AP+IND+RAT'!J104+'68.02.05.02 SF.NICOLAE'!J104</f>
        <v>0</v>
      </c>
      <c r="K104" s="104"/>
      <c r="L104" s="103"/>
      <c r="M104" s="781"/>
    </row>
    <row r="105" spans="1:13" s="4" customFormat="1" ht="13.5" hidden="1" thickBot="1" x14ac:dyDescent="0.25">
      <c r="A105" s="689">
        <v>95</v>
      </c>
      <c r="B105" s="122" t="s">
        <v>164</v>
      </c>
      <c r="C105" s="41"/>
      <c r="D105" s="307">
        <f>'68.02.05.02- AP+IND+RAT'!D105+'68.02.05.02 SF.NICOLAE'!D105</f>
        <v>0</v>
      </c>
      <c r="E105" s="307">
        <f>'68.02.05.02- AP+IND+RAT'!E105+'68.02.05.02 SF.NICOLAE'!E105</f>
        <v>0</v>
      </c>
      <c r="F105" s="307">
        <f>'68.02.05.02- AP+IND+RAT'!F105+'68.02.05.02 SF.NICOLAE'!F105</f>
        <v>0</v>
      </c>
      <c r="G105" s="307">
        <f>'68.02.05.02- AP+IND+RAT'!G105+'68.02.05.02 SF.NICOLAE'!G105</f>
        <v>0</v>
      </c>
      <c r="H105" s="307">
        <f>'68.02.05.02- AP+IND+RAT'!H105+'68.02.05.02 SF.NICOLAE'!H105</f>
        <v>0</v>
      </c>
      <c r="I105" s="307">
        <f>'68.02.05.02- AP+IND+RAT'!I105+'68.02.05.02 SF.NICOLAE'!I105</f>
        <v>0</v>
      </c>
      <c r="J105" s="307">
        <f>'68.02.05.02- AP+IND+RAT'!J105+'68.02.05.02 SF.NICOLAE'!J105</f>
        <v>0</v>
      </c>
      <c r="K105" s="104"/>
      <c r="L105" s="103"/>
      <c r="M105" s="781"/>
    </row>
    <row r="106" spans="1:13" s="4" customFormat="1" ht="13.5" hidden="1" thickBot="1" x14ac:dyDescent="0.25">
      <c r="A106" s="689">
        <v>96</v>
      </c>
      <c r="B106" s="122"/>
      <c r="C106" s="41"/>
      <c r="D106" s="307">
        <f>'68.02.05.02- AP+IND+RAT'!D106+'68.02.05.02 SF.NICOLAE'!D106</f>
        <v>0</v>
      </c>
      <c r="E106" s="307">
        <f>'68.02.05.02- AP+IND+RAT'!E106+'68.02.05.02 SF.NICOLAE'!E106</f>
        <v>0</v>
      </c>
      <c r="F106" s="307">
        <f>'68.02.05.02- AP+IND+RAT'!F106+'68.02.05.02 SF.NICOLAE'!F106</f>
        <v>0</v>
      </c>
      <c r="G106" s="307">
        <f>'68.02.05.02- AP+IND+RAT'!G106+'68.02.05.02 SF.NICOLAE'!G106</f>
        <v>0</v>
      </c>
      <c r="H106" s="307">
        <f>'68.02.05.02- AP+IND+RAT'!H106+'68.02.05.02 SF.NICOLAE'!H106</f>
        <v>0</v>
      </c>
      <c r="I106" s="307">
        <f>'68.02.05.02- AP+IND+RAT'!I106+'68.02.05.02 SF.NICOLAE'!I106</f>
        <v>0</v>
      </c>
      <c r="J106" s="307">
        <f>'68.02.05.02- AP+IND+RAT'!J106+'68.02.05.02 SF.NICOLAE'!J106</f>
        <v>0</v>
      </c>
      <c r="K106" s="104"/>
      <c r="L106" s="103"/>
      <c r="M106" s="781"/>
    </row>
    <row r="107" spans="1:13" s="4" customFormat="1" ht="13.5" thickBot="1" x14ac:dyDescent="0.25">
      <c r="A107" s="689">
        <v>97</v>
      </c>
      <c r="B107" s="123" t="s">
        <v>165</v>
      </c>
      <c r="C107" s="56" t="s">
        <v>166</v>
      </c>
      <c r="D107" s="307">
        <f>'68.02.05.02- AP+IND+RAT'!D107+'68.02.05.02 SF.NICOLAE'!D107</f>
        <v>0</v>
      </c>
      <c r="E107" s="307">
        <f>'68.02.05.02- AP+IND+RAT'!E107+'68.02.05.02 SF.NICOLAE'!E107</f>
        <v>0</v>
      </c>
      <c r="F107" s="307">
        <f>'68.02.05.02- AP+IND+RAT'!F107+'68.02.05.02 SF.NICOLAE'!F107</f>
        <v>1066</v>
      </c>
      <c r="G107" s="307">
        <f>'68.02.05.02- AP+IND+RAT'!G107+'68.02.05.02 SF.NICOLAE'!G107</f>
        <v>271</v>
      </c>
      <c r="H107" s="307">
        <f>'68.02.05.02- AP+IND+RAT'!H107+'68.02.05.02 SF.NICOLAE'!H107</f>
        <v>265</v>
      </c>
      <c r="I107" s="307">
        <f>'68.02.05.02- AP+IND+RAT'!I107+'68.02.05.02 SF.NICOLAE'!I107</f>
        <v>260</v>
      </c>
      <c r="J107" s="307">
        <f>'68.02.05.02- AP+IND+RAT'!J107+'68.02.05.02 SF.NICOLAE'!J107</f>
        <v>270</v>
      </c>
      <c r="K107" s="104"/>
      <c r="L107" s="103"/>
      <c r="M107" s="781"/>
    </row>
    <row r="108" spans="1:13" s="4" customFormat="1" x14ac:dyDescent="0.2">
      <c r="A108" s="689">
        <v>98</v>
      </c>
      <c r="B108" s="124" t="s">
        <v>167</v>
      </c>
      <c r="C108" s="41"/>
      <c r="D108" s="958">
        <f>'68.02.05.02- AP+IND+RAT'!D108+'68.02.05.02 SF.NICOLAE'!D108</f>
        <v>0</v>
      </c>
      <c r="E108" s="958">
        <f>'68.02.05.02- AP+IND+RAT'!E108+'68.02.05.02 SF.NICOLAE'!E108</f>
        <v>0</v>
      </c>
      <c r="F108" s="958">
        <f>'68.02.05.02- AP+IND+RAT'!F108+'68.02.05.02 SF.NICOLAE'!F108</f>
        <v>1066</v>
      </c>
      <c r="G108" s="958">
        <f>'68.02.05.02- AP+IND+RAT'!G108+'68.02.05.02 SF.NICOLAE'!G108</f>
        <v>271</v>
      </c>
      <c r="H108" s="958">
        <f>'68.02.05.02- AP+IND+RAT'!H108+'68.02.05.02 SF.NICOLAE'!H108</f>
        <v>265</v>
      </c>
      <c r="I108" s="958">
        <f>'68.02.05.02- AP+IND+RAT'!I108+'68.02.05.02 SF.NICOLAE'!I108</f>
        <v>260</v>
      </c>
      <c r="J108" s="958">
        <f>'68.02.05.02- AP+IND+RAT'!J108+'68.02.05.02 SF.NICOLAE'!J108</f>
        <v>270</v>
      </c>
      <c r="K108" s="118"/>
      <c r="L108" s="103"/>
      <c r="M108" s="781"/>
    </row>
    <row r="109" spans="1:13" s="4" customFormat="1" ht="13.5" hidden="1" thickBot="1" x14ac:dyDescent="0.25">
      <c r="A109" s="689">
        <v>99</v>
      </c>
      <c r="B109" s="125" t="s">
        <v>168</v>
      </c>
      <c r="C109" s="41"/>
      <c r="D109" s="307">
        <f>'68.02.05.02- AP+IND+RAT'!D109+'68.02.05.02 SF.NICOLAE'!D109</f>
        <v>0</v>
      </c>
      <c r="E109" s="307">
        <f>'68.02.05.02- AP+IND+RAT'!E109+'68.02.05.02 SF.NICOLAE'!E109</f>
        <v>0</v>
      </c>
      <c r="F109" s="307">
        <f>'68.02.05.02- AP+IND+RAT'!F109+'68.02.05.02 SF.NICOLAE'!F109</f>
        <v>0</v>
      </c>
      <c r="G109" s="307">
        <f>'68.02.05.02- AP+IND+RAT'!G109+'68.02.05.02 SF.NICOLAE'!G109</f>
        <v>0</v>
      </c>
      <c r="H109" s="307">
        <f>'68.02.05.02- AP+IND+RAT'!H109+'68.02.05.02 SF.NICOLAE'!H109</f>
        <v>0</v>
      </c>
      <c r="I109" s="307">
        <f>'68.02.05.02- AP+IND+RAT'!I109+'68.02.05.02 SF.NICOLAE'!I109</f>
        <v>0</v>
      </c>
      <c r="J109" s="307">
        <f>'68.02.05.02- AP+IND+RAT'!J109+'68.02.05.02 SF.NICOLAE'!J109</f>
        <v>0</v>
      </c>
      <c r="K109" s="118"/>
      <c r="L109" s="103"/>
      <c r="M109" s="781"/>
    </row>
    <row r="110" spans="1:13" s="4" customFormat="1" ht="13.5" hidden="1" thickBot="1" x14ac:dyDescent="0.25">
      <c r="A110" s="689">
        <v>100</v>
      </c>
      <c r="B110" s="116" t="s">
        <v>169</v>
      </c>
      <c r="C110" s="41"/>
      <c r="D110" s="307">
        <f>'68.02.05.02- AP+IND+RAT'!D110+'68.02.05.02 SF.NICOLAE'!D110</f>
        <v>0</v>
      </c>
      <c r="E110" s="307">
        <f>'68.02.05.02- AP+IND+RAT'!E110+'68.02.05.02 SF.NICOLAE'!E110</f>
        <v>0</v>
      </c>
      <c r="F110" s="307">
        <f>'68.02.05.02- AP+IND+RAT'!F110+'68.02.05.02 SF.NICOLAE'!F110</f>
        <v>0</v>
      </c>
      <c r="G110" s="307">
        <f>'68.02.05.02- AP+IND+RAT'!G110+'68.02.05.02 SF.NICOLAE'!G110</f>
        <v>0</v>
      </c>
      <c r="H110" s="307">
        <f>'68.02.05.02- AP+IND+RAT'!H110+'68.02.05.02 SF.NICOLAE'!H110</f>
        <v>0</v>
      </c>
      <c r="I110" s="307">
        <f>'68.02.05.02- AP+IND+RAT'!I110+'68.02.05.02 SF.NICOLAE'!I110</f>
        <v>0</v>
      </c>
      <c r="J110" s="307">
        <f>'68.02.05.02- AP+IND+RAT'!J110+'68.02.05.02 SF.NICOLAE'!J110</f>
        <v>0</v>
      </c>
      <c r="K110" s="118"/>
      <c r="L110" s="103"/>
      <c r="M110" s="781"/>
    </row>
    <row r="111" spans="1:13" s="4" customFormat="1" ht="13.5" hidden="1" thickBot="1" x14ac:dyDescent="0.25">
      <c r="A111" s="689">
        <v>101</v>
      </c>
      <c r="B111" s="116" t="s">
        <v>170</v>
      </c>
      <c r="C111" s="41"/>
      <c r="D111" s="307">
        <f>'68.02.05.02- AP+IND+RAT'!D111+'68.02.05.02 SF.NICOLAE'!D111</f>
        <v>0</v>
      </c>
      <c r="E111" s="307">
        <f>'68.02.05.02- AP+IND+RAT'!E111+'68.02.05.02 SF.NICOLAE'!E111</f>
        <v>0</v>
      </c>
      <c r="F111" s="307">
        <f>'68.02.05.02- AP+IND+RAT'!F111+'68.02.05.02 SF.NICOLAE'!F111</f>
        <v>0</v>
      </c>
      <c r="G111" s="307">
        <f>'68.02.05.02- AP+IND+RAT'!G111+'68.02.05.02 SF.NICOLAE'!G111</f>
        <v>0</v>
      </c>
      <c r="H111" s="307">
        <f>'68.02.05.02- AP+IND+RAT'!H111+'68.02.05.02 SF.NICOLAE'!H111</f>
        <v>0</v>
      </c>
      <c r="I111" s="307">
        <f>'68.02.05.02- AP+IND+RAT'!I111+'68.02.05.02 SF.NICOLAE'!I111</f>
        <v>0</v>
      </c>
      <c r="J111" s="307">
        <f>'68.02.05.02- AP+IND+RAT'!J111+'68.02.05.02 SF.NICOLAE'!J111</f>
        <v>0</v>
      </c>
      <c r="K111" s="104"/>
      <c r="L111" s="103"/>
      <c r="M111" s="781"/>
    </row>
    <row r="112" spans="1:13" s="4" customFormat="1" ht="26.25" hidden="1" thickBot="1" x14ac:dyDescent="0.25">
      <c r="A112" s="689">
        <v>102</v>
      </c>
      <c r="B112" s="126" t="s">
        <v>171</v>
      </c>
      <c r="C112" s="101" t="s">
        <v>172</v>
      </c>
      <c r="D112" s="307">
        <f>'68.02.05.02- AP+IND+RAT'!D112+'68.02.05.02 SF.NICOLAE'!D112</f>
        <v>0</v>
      </c>
      <c r="E112" s="307">
        <f>'68.02.05.02- AP+IND+RAT'!E112+'68.02.05.02 SF.NICOLAE'!E112</f>
        <v>0</v>
      </c>
      <c r="F112" s="307">
        <f>'68.02.05.02- AP+IND+RAT'!F112+'68.02.05.02 SF.NICOLAE'!F112</f>
        <v>0</v>
      </c>
      <c r="G112" s="307">
        <f>'68.02.05.02- AP+IND+RAT'!G112+'68.02.05.02 SF.NICOLAE'!G112</f>
        <v>0</v>
      </c>
      <c r="H112" s="307">
        <f>'68.02.05.02- AP+IND+RAT'!H112+'68.02.05.02 SF.NICOLAE'!H112</f>
        <v>0</v>
      </c>
      <c r="I112" s="307">
        <f>'68.02.05.02- AP+IND+RAT'!I112+'68.02.05.02 SF.NICOLAE'!I112</f>
        <v>0</v>
      </c>
      <c r="J112" s="307">
        <f>'68.02.05.02- AP+IND+RAT'!J112+'68.02.05.02 SF.NICOLAE'!J112</f>
        <v>0</v>
      </c>
      <c r="K112" s="104"/>
      <c r="L112" s="103"/>
      <c r="M112" s="781"/>
    </row>
    <row r="113" spans="1:13" s="4" customFormat="1" ht="13.5" hidden="1" thickBot="1" x14ac:dyDescent="0.25">
      <c r="A113" s="689">
        <v>103</v>
      </c>
      <c r="B113" s="320" t="s">
        <v>127</v>
      </c>
      <c r="C113" s="56" t="s">
        <v>173</v>
      </c>
      <c r="D113" s="307">
        <f>'68.02.05.02- AP+IND+RAT'!D113+'68.02.05.02 SF.NICOLAE'!D113</f>
        <v>0</v>
      </c>
      <c r="E113" s="307">
        <f>'68.02.05.02- AP+IND+RAT'!E113+'68.02.05.02 SF.NICOLAE'!E113</f>
        <v>0</v>
      </c>
      <c r="F113" s="307">
        <f>'68.02.05.02- AP+IND+RAT'!F113+'68.02.05.02 SF.NICOLAE'!F113</f>
        <v>0</v>
      </c>
      <c r="G113" s="307">
        <f>'68.02.05.02- AP+IND+RAT'!G113+'68.02.05.02 SF.NICOLAE'!G113</f>
        <v>0</v>
      </c>
      <c r="H113" s="307">
        <f>'68.02.05.02- AP+IND+RAT'!H113+'68.02.05.02 SF.NICOLAE'!H113</f>
        <v>0</v>
      </c>
      <c r="I113" s="307">
        <f>'68.02.05.02- AP+IND+RAT'!I113+'68.02.05.02 SF.NICOLAE'!I113</f>
        <v>0</v>
      </c>
      <c r="J113" s="307">
        <f>'68.02.05.02- AP+IND+RAT'!J113+'68.02.05.02 SF.NICOLAE'!J113</f>
        <v>0</v>
      </c>
      <c r="K113" s="118"/>
      <c r="L113" s="103"/>
      <c r="M113" s="781"/>
    </row>
    <row r="114" spans="1:13" s="4" customFormat="1" ht="13.5" hidden="1" thickBot="1" x14ac:dyDescent="0.25">
      <c r="A114" s="689">
        <v>104</v>
      </c>
      <c r="B114" s="73" t="s">
        <v>174</v>
      </c>
      <c r="C114" s="56"/>
      <c r="D114" s="307">
        <f>'68.02.05.02- AP+IND+RAT'!D114+'68.02.05.02 SF.NICOLAE'!D114</f>
        <v>0</v>
      </c>
      <c r="E114" s="307">
        <f>'68.02.05.02- AP+IND+RAT'!E114+'68.02.05.02 SF.NICOLAE'!E114</f>
        <v>0</v>
      </c>
      <c r="F114" s="307">
        <f>'68.02.05.02- AP+IND+RAT'!F114+'68.02.05.02 SF.NICOLAE'!F114</f>
        <v>0</v>
      </c>
      <c r="G114" s="307">
        <f>'68.02.05.02- AP+IND+RAT'!G114+'68.02.05.02 SF.NICOLAE'!G114</f>
        <v>0</v>
      </c>
      <c r="H114" s="307">
        <f>'68.02.05.02- AP+IND+RAT'!H114+'68.02.05.02 SF.NICOLAE'!H114</f>
        <v>0</v>
      </c>
      <c r="I114" s="307">
        <f>'68.02.05.02- AP+IND+RAT'!I114+'68.02.05.02 SF.NICOLAE'!I114</f>
        <v>0</v>
      </c>
      <c r="J114" s="307">
        <f>'68.02.05.02- AP+IND+RAT'!J114+'68.02.05.02 SF.NICOLAE'!J114</f>
        <v>0</v>
      </c>
      <c r="K114" s="118"/>
      <c r="L114" s="103"/>
      <c r="M114" s="781"/>
    </row>
    <row r="115" spans="1:13" s="4" customFormat="1" ht="13.5" hidden="1" thickBot="1" x14ac:dyDescent="0.25">
      <c r="A115" s="689">
        <v>105</v>
      </c>
      <c r="B115" s="73" t="s">
        <v>175</v>
      </c>
      <c r="C115" s="56"/>
      <c r="D115" s="307">
        <f>'68.02.05.02- AP+IND+RAT'!D115+'68.02.05.02 SF.NICOLAE'!D115</f>
        <v>0</v>
      </c>
      <c r="E115" s="307">
        <f>'68.02.05.02- AP+IND+RAT'!E115+'68.02.05.02 SF.NICOLAE'!E115</f>
        <v>0</v>
      </c>
      <c r="F115" s="307">
        <f>'68.02.05.02- AP+IND+RAT'!F115+'68.02.05.02 SF.NICOLAE'!F115</f>
        <v>0</v>
      </c>
      <c r="G115" s="307">
        <f>'68.02.05.02- AP+IND+RAT'!G115+'68.02.05.02 SF.NICOLAE'!G115</f>
        <v>0</v>
      </c>
      <c r="H115" s="307">
        <f>'68.02.05.02- AP+IND+RAT'!H115+'68.02.05.02 SF.NICOLAE'!H115</f>
        <v>0</v>
      </c>
      <c r="I115" s="307">
        <f>'68.02.05.02- AP+IND+RAT'!I115+'68.02.05.02 SF.NICOLAE'!I115</f>
        <v>0</v>
      </c>
      <c r="J115" s="307">
        <f>'68.02.05.02- AP+IND+RAT'!J115+'68.02.05.02 SF.NICOLAE'!J115</f>
        <v>0</v>
      </c>
      <c r="K115" s="118"/>
      <c r="L115" s="103"/>
      <c r="M115" s="781"/>
    </row>
    <row r="116" spans="1:13" s="4" customFormat="1" ht="13.5" hidden="1" thickBot="1" x14ac:dyDescent="0.25">
      <c r="A116" s="689">
        <v>106</v>
      </c>
      <c r="B116" s="73" t="s">
        <v>176</v>
      </c>
      <c r="C116" s="56" t="s">
        <v>177</v>
      </c>
      <c r="D116" s="307">
        <f>'68.02.05.02- AP+IND+RAT'!D116+'68.02.05.02 SF.NICOLAE'!D116</f>
        <v>0</v>
      </c>
      <c r="E116" s="307">
        <f>'68.02.05.02- AP+IND+RAT'!E116+'68.02.05.02 SF.NICOLAE'!E116</f>
        <v>0</v>
      </c>
      <c r="F116" s="307">
        <f>'68.02.05.02- AP+IND+RAT'!F116+'68.02.05.02 SF.NICOLAE'!F116</f>
        <v>0</v>
      </c>
      <c r="G116" s="307">
        <f>'68.02.05.02- AP+IND+RAT'!G116+'68.02.05.02 SF.NICOLAE'!G116</f>
        <v>0</v>
      </c>
      <c r="H116" s="307">
        <f>'68.02.05.02- AP+IND+RAT'!H116+'68.02.05.02 SF.NICOLAE'!H116</f>
        <v>0</v>
      </c>
      <c r="I116" s="307">
        <f>'68.02.05.02- AP+IND+RAT'!I116+'68.02.05.02 SF.NICOLAE'!I116</f>
        <v>0</v>
      </c>
      <c r="J116" s="307">
        <f>'68.02.05.02- AP+IND+RAT'!J116+'68.02.05.02 SF.NICOLAE'!J116</f>
        <v>0</v>
      </c>
      <c r="K116" s="118"/>
      <c r="L116" s="103"/>
      <c r="M116" s="781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307">
        <f>'68.02.05.02- AP+IND+RAT'!D117+'68.02.05.02 SF.NICOLAE'!D117</f>
        <v>0</v>
      </c>
      <c r="E117" s="307">
        <f>'68.02.05.02- AP+IND+RAT'!E117+'68.02.05.02 SF.NICOLAE'!E117</f>
        <v>0</v>
      </c>
      <c r="F117" s="307">
        <f>'68.02.05.02- AP+IND+RAT'!F117+'68.02.05.02 SF.NICOLAE'!F117</f>
        <v>0</v>
      </c>
      <c r="G117" s="307">
        <f>'68.02.05.02- AP+IND+RAT'!G117+'68.02.05.02 SF.NICOLAE'!G117</f>
        <v>0</v>
      </c>
      <c r="H117" s="307">
        <f>'68.02.05.02- AP+IND+RAT'!H117+'68.02.05.02 SF.NICOLAE'!H117</f>
        <v>0</v>
      </c>
      <c r="I117" s="307">
        <f>'68.02.05.02- AP+IND+RAT'!I117+'68.02.05.02 SF.NICOLAE'!I117</f>
        <v>0</v>
      </c>
      <c r="J117" s="307">
        <f>'68.02.05.02- AP+IND+RAT'!J117+'68.02.05.02 SF.NICOLAE'!J117</f>
        <v>0</v>
      </c>
      <c r="K117" s="131"/>
      <c r="L117" s="132"/>
      <c r="M117" s="785"/>
    </row>
    <row r="118" spans="1:13" s="135" customFormat="1" ht="13.5" hidden="1" thickBot="1" x14ac:dyDescent="0.25">
      <c r="A118" s="689">
        <v>108</v>
      </c>
      <c r="B118" s="24" t="s">
        <v>180</v>
      </c>
      <c r="C118" s="25"/>
      <c r="D118" s="307">
        <f>'68.02.05.02- AP+IND+RAT'!D118+'68.02.05.02 SF.NICOLAE'!D118</f>
        <v>0</v>
      </c>
      <c r="E118" s="307">
        <f>'68.02.05.02- AP+IND+RAT'!E118+'68.02.05.02 SF.NICOLAE'!E118</f>
        <v>0</v>
      </c>
      <c r="F118" s="307">
        <f>'68.02.05.02- AP+IND+RAT'!F118+'68.02.05.02 SF.NICOLAE'!F118</f>
        <v>0</v>
      </c>
      <c r="G118" s="307">
        <f>'68.02.05.02- AP+IND+RAT'!G118+'68.02.05.02 SF.NICOLAE'!G118</f>
        <v>0</v>
      </c>
      <c r="H118" s="307">
        <f>'68.02.05.02- AP+IND+RAT'!H118+'68.02.05.02 SF.NICOLAE'!H118</f>
        <v>0</v>
      </c>
      <c r="I118" s="307">
        <f>'68.02.05.02- AP+IND+RAT'!I118+'68.02.05.02 SF.NICOLAE'!I118</f>
        <v>0</v>
      </c>
      <c r="J118" s="307">
        <f>'68.02.05.02- AP+IND+RAT'!J118+'68.02.05.02 SF.NICOLAE'!J118</f>
        <v>0</v>
      </c>
      <c r="K118" s="98"/>
      <c r="L118" s="97"/>
      <c r="M118" s="784"/>
    </row>
    <row r="119" spans="1:13" s="4" customFormat="1" ht="26.25" hidden="1" thickBot="1" x14ac:dyDescent="0.25">
      <c r="A119" s="689">
        <v>109</v>
      </c>
      <c r="B119" s="126" t="s">
        <v>181</v>
      </c>
      <c r="C119" s="136" t="s">
        <v>182</v>
      </c>
      <c r="D119" s="307">
        <f>'68.02.05.02- AP+IND+RAT'!D119+'68.02.05.02 SF.NICOLAE'!D119</f>
        <v>0</v>
      </c>
      <c r="E119" s="307">
        <f>'68.02.05.02- AP+IND+RAT'!E119+'68.02.05.02 SF.NICOLAE'!E119</f>
        <v>0</v>
      </c>
      <c r="F119" s="307">
        <f>'68.02.05.02- AP+IND+RAT'!F119+'68.02.05.02 SF.NICOLAE'!F119</f>
        <v>0</v>
      </c>
      <c r="G119" s="307">
        <f>'68.02.05.02- AP+IND+RAT'!G119+'68.02.05.02 SF.NICOLAE'!G119</f>
        <v>0</v>
      </c>
      <c r="H119" s="307">
        <f>'68.02.05.02- AP+IND+RAT'!H119+'68.02.05.02 SF.NICOLAE'!H119</f>
        <v>0</v>
      </c>
      <c r="I119" s="307">
        <f>'68.02.05.02- AP+IND+RAT'!I119+'68.02.05.02 SF.NICOLAE'!I119</f>
        <v>0</v>
      </c>
      <c r="J119" s="307">
        <f>'68.02.05.02- AP+IND+RAT'!J119+'68.02.05.02 SF.NICOLAE'!J119</f>
        <v>0</v>
      </c>
      <c r="K119" s="118"/>
      <c r="L119" s="103"/>
      <c r="M119" s="781"/>
    </row>
    <row r="120" spans="1:13" s="4" customFormat="1" ht="13.5" hidden="1" thickBot="1" x14ac:dyDescent="0.25">
      <c r="A120" s="689">
        <v>110</v>
      </c>
      <c r="B120" s="55" t="s">
        <v>183</v>
      </c>
      <c r="C120" s="56" t="s">
        <v>184</v>
      </c>
      <c r="D120" s="307">
        <f>'68.02.05.02- AP+IND+RAT'!D120+'68.02.05.02 SF.NICOLAE'!D120</f>
        <v>0</v>
      </c>
      <c r="E120" s="307">
        <f>'68.02.05.02- AP+IND+RAT'!E120+'68.02.05.02 SF.NICOLAE'!E120</f>
        <v>0</v>
      </c>
      <c r="F120" s="307">
        <f>'68.02.05.02- AP+IND+RAT'!F120+'68.02.05.02 SF.NICOLAE'!F120</f>
        <v>0</v>
      </c>
      <c r="G120" s="307">
        <f>'68.02.05.02- AP+IND+RAT'!G120+'68.02.05.02 SF.NICOLAE'!G120</f>
        <v>0</v>
      </c>
      <c r="H120" s="307">
        <f>'68.02.05.02- AP+IND+RAT'!H120+'68.02.05.02 SF.NICOLAE'!H120</f>
        <v>0</v>
      </c>
      <c r="I120" s="307">
        <f>'68.02.05.02- AP+IND+RAT'!I120+'68.02.05.02 SF.NICOLAE'!I120</f>
        <v>0</v>
      </c>
      <c r="J120" s="307">
        <f>'68.02.05.02- AP+IND+RAT'!J120+'68.02.05.02 SF.NICOLAE'!J120</f>
        <v>0</v>
      </c>
      <c r="K120" s="118"/>
      <c r="L120" s="103"/>
      <c r="M120" s="781"/>
    </row>
    <row r="121" spans="1:13" s="139" customFormat="1" ht="13.5" hidden="1" thickBot="1" x14ac:dyDescent="0.25">
      <c r="A121" s="689">
        <v>111</v>
      </c>
      <c r="B121" s="138" t="s">
        <v>185</v>
      </c>
      <c r="C121" s="41" t="s">
        <v>186</v>
      </c>
      <c r="D121" s="307">
        <f>'68.02.05.02- AP+IND+RAT'!D121+'68.02.05.02 SF.NICOLAE'!D121</f>
        <v>0</v>
      </c>
      <c r="E121" s="307">
        <f>'68.02.05.02- AP+IND+RAT'!E121+'68.02.05.02 SF.NICOLAE'!E121</f>
        <v>0</v>
      </c>
      <c r="F121" s="307">
        <f>'68.02.05.02- AP+IND+RAT'!F121+'68.02.05.02 SF.NICOLAE'!F121</f>
        <v>0</v>
      </c>
      <c r="G121" s="307">
        <f>'68.02.05.02- AP+IND+RAT'!G121+'68.02.05.02 SF.NICOLAE'!G121</f>
        <v>0</v>
      </c>
      <c r="H121" s="307">
        <f>'68.02.05.02- AP+IND+RAT'!H121+'68.02.05.02 SF.NICOLAE'!H121</f>
        <v>0</v>
      </c>
      <c r="I121" s="307">
        <f>'68.02.05.02- AP+IND+RAT'!I121+'68.02.05.02 SF.NICOLAE'!I121</f>
        <v>0</v>
      </c>
      <c r="J121" s="307">
        <f>'68.02.05.02- AP+IND+RAT'!J121+'68.02.05.02 SF.NICOLAE'!J121</f>
        <v>0</v>
      </c>
      <c r="K121" s="118"/>
      <c r="L121" s="103"/>
      <c r="M121" s="781"/>
    </row>
    <row r="122" spans="1:13" s="139" customFormat="1" ht="13.5" hidden="1" thickBot="1" x14ac:dyDescent="0.25">
      <c r="A122" s="689">
        <v>112</v>
      </c>
      <c r="B122" s="138" t="s">
        <v>187</v>
      </c>
      <c r="C122" s="56" t="s">
        <v>188</v>
      </c>
      <c r="D122" s="307">
        <f>'68.02.05.02- AP+IND+RAT'!D122+'68.02.05.02 SF.NICOLAE'!D122</f>
        <v>0</v>
      </c>
      <c r="E122" s="307">
        <f>'68.02.05.02- AP+IND+RAT'!E122+'68.02.05.02 SF.NICOLAE'!E122</f>
        <v>0</v>
      </c>
      <c r="F122" s="307">
        <f>'68.02.05.02- AP+IND+RAT'!F122+'68.02.05.02 SF.NICOLAE'!F122</f>
        <v>0</v>
      </c>
      <c r="G122" s="307">
        <f>'68.02.05.02- AP+IND+RAT'!G122+'68.02.05.02 SF.NICOLAE'!G122</f>
        <v>0</v>
      </c>
      <c r="H122" s="307">
        <f>'68.02.05.02- AP+IND+RAT'!H122+'68.02.05.02 SF.NICOLAE'!H122</f>
        <v>0</v>
      </c>
      <c r="I122" s="307">
        <f>'68.02.05.02- AP+IND+RAT'!I122+'68.02.05.02 SF.NICOLAE'!I122</f>
        <v>0</v>
      </c>
      <c r="J122" s="307">
        <f>'68.02.05.02- AP+IND+RAT'!J122+'68.02.05.02 SF.NICOLAE'!J122</f>
        <v>0</v>
      </c>
      <c r="K122" s="104"/>
      <c r="L122" s="103"/>
      <c r="M122" s="781"/>
    </row>
    <row r="123" spans="1:13" s="139" customFormat="1" ht="13.5" hidden="1" thickBot="1" x14ac:dyDescent="0.25">
      <c r="A123" s="689">
        <v>113</v>
      </c>
      <c r="B123" s="138" t="s">
        <v>189</v>
      </c>
      <c r="C123" s="56" t="s">
        <v>190</v>
      </c>
      <c r="D123" s="307">
        <f>'68.02.05.02- AP+IND+RAT'!D123+'68.02.05.02 SF.NICOLAE'!D123</f>
        <v>0</v>
      </c>
      <c r="E123" s="307">
        <f>'68.02.05.02- AP+IND+RAT'!E123+'68.02.05.02 SF.NICOLAE'!E123</f>
        <v>0</v>
      </c>
      <c r="F123" s="307">
        <f>'68.02.05.02- AP+IND+RAT'!F123+'68.02.05.02 SF.NICOLAE'!F123</f>
        <v>0</v>
      </c>
      <c r="G123" s="307">
        <f>'68.02.05.02- AP+IND+RAT'!G123+'68.02.05.02 SF.NICOLAE'!G123</f>
        <v>0</v>
      </c>
      <c r="H123" s="307">
        <f>'68.02.05.02- AP+IND+RAT'!H123+'68.02.05.02 SF.NICOLAE'!H123</f>
        <v>0</v>
      </c>
      <c r="I123" s="307">
        <f>'68.02.05.02- AP+IND+RAT'!I123+'68.02.05.02 SF.NICOLAE'!I123</f>
        <v>0</v>
      </c>
      <c r="J123" s="307">
        <f>'68.02.05.02- AP+IND+RAT'!J123+'68.02.05.02 SF.NICOLAE'!J123</f>
        <v>0</v>
      </c>
      <c r="K123" s="104"/>
      <c r="L123" s="103"/>
      <c r="M123" s="781"/>
    </row>
    <row r="124" spans="1:13" s="139" customFormat="1" ht="13.5" hidden="1" thickBot="1" x14ac:dyDescent="0.25">
      <c r="A124" s="689">
        <v>114</v>
      </c>
      <c r="B124" s="138" t="s">
        <v>191</v>
      </c>
      <c r="C124" s="41" t="s">
        <v>192</v>
      </c>
      <c r="D124" s="307">
        <f>'68.02.05.02- AP+IND+RAT'!D124+'68.02.05.02 SF.NICOLAE'!D124</f>
        <v>0</v>
      </c>
      <c r="E124" s="307">
        <f>'68.02.05.02- AP+IND+RAT'!E124+'68.02.05.02 SF.NICOLAE'!E124</f>
        <v>0</v>
      </c>
      <c r="F124" s="307">
        <f>'68.02.05.02- AP+IND+RAT'!F124+'68.02.05.02 SF.NICOLAE'!F124</f>
        <v>0</v>
      </c>
      <c r="G124" s="307">
        <f>'68.02.05.02- AP+IND+RAT'!G124+'68.02.05.02 SF.NICOLAE'!G124</f>
        <v>0</v>
      </c>
      <c r="H124" s="307">
        <f>'68.02.05.02- AP+IND+RAT'!H124+'68.02.05.02 SF.NICOLAE'!H124</f>
        <v>0</v>
      </c>
      <c r="I124" s="307">
        <f>'68.02.05.02- AP+IND+RAT'!I124+'68.02.05.02 SF.NICOLAE'!I124</f>
        <v>0</v>
      </c>
      <c r="J124" s="307">
        <f>'68.02.05.02- AP+IND+RAT'!J124+'68.02.05.02 SF.NICOLAE'!J124</f>
        <v>0</v>
      </c>
      <c r="K124" s="104"/>
      <c r="L124" s="103"/>
      <c r="M124" s="781"/>
    </row>
    <row r="125" spans="1:13" s="139" customFormat="1" ht="13.5" hidden="1" thickBot="1" x14ac:dyDescent="0.25">
      <c r="A125" s="689">
        <v>115</v>
      </c>
      <c r="B125" s="138" t="s">
        <v>193</v>
      </c>
      <c r="C125" s="56" t="s">
        <v>194</v>
      </c>
      <c r="D125" s="307">
        <f>'68.02.05.02- AP+IND+RAT'!D125+'68.02.05.02 SF.NICOLAE'!D125</f>
        <v>0</v>
      </c>
      <c r="E125" s="307">
        <f>'68.02.05.02- AP+IND+RAT'!E125+'68.02.05.02 SF.NICOLAE'!E125</f>
        <v>0</v>
      </c>
      <c r="F125" s="307">
        <f>'68.02.05.02- AP+IND+RAT'!F125+'68.02.05.02 SF.NICOLAE'!F125</f>
        <v>0</v>
      </c>
      <c r="G125" s="307">
        <f>'68.02.05.02- AP+IND+RAT'!G125+'68.02.05.02 SF.NICOLAE'!G125</f>
        <v>0</v>
      </c>
      <c r="H125" s="307">
        <f>'68.02.05.02- AP+IND+RAT'!H125+'68.02.05.02 SF.NICOLAE'!H125</f>
        <v>0</v>
      </c>
      <c r="I125" s="307">
        <f>'68.02.05.02- AP+IND+RAT'!I125+'68.02.05.02 SF.NICOLAE'!I125</f>
        <v>0</v>
      </c>
      <c r="J125" s="307">
        <f>'68.02.05.02- AP+IND+RAT'!J125+'68.02.05.02 SF.NICOLAE'!J125</f>
        <v>0</v>
      </c>
      <c r="K125" s="104"/>
      <c r="L125" s="103"/>
      <c r="M125" s="781"/>
    </row>
    <row r="126" spans="1:13" s="139" customFormat="1" ht="13.5" hidden="1" thickBot="1" x14ac:dyDescent="0.25">
      <c r="A126" s="689">
        <v>116</v>
      </c>
      <c r="B126" s="138" t="s">
        <v>195</v>
      </c>
      <c r="C126" s="41" t="s">
        <v>196</v>
      </c>
      <c r="D126" s="307">
        <f>'68.02.05.02- AP+IND+RAT'!D126+'68.02.05.02 SF.NICOLAE'!D126</f>
        <v>0</v>
      </c>
      <c r="E126" s="307">
        <f>'68.02.05.02- AP+IND+RAT'!E126+'68.02.05.02 SF.NICOLAE'!E126</f>
        <v>0</v>
      </c>
      <c r="F126" s="307">
        <f>'68.02.05.02- AP+IND+RAT'!F126+'68.02.05.02 SF.NICOLAE'!F126</f>
        <v>0</v>
      </c>
      <c r="G126" s="307">
        <f>'68.02.05.02- AP+IND+RAT'!G126+'68.02.05.02 SF.NICOLAE'!G126</f>
        <v>0</v>
      </c>
      <c r="H126" s="307">
        <f>'68.02.05.02- AP+IND+RAT'!H126+'68.02.05.02 SF.NICOLAE'!H126</f>
        <v>0</v>
      </c>
      <c r="I126" s="307">
        <f>'68.02.05.02- AP+IND+RAT'!I126+'68.02.05.02 SF.NICOLAE'!I126</f>
        <v>0</v>
      </c>
      <c r="J126" s="307">
        <f>'68.02.05.02- AP+IND+RAT'!J126+'68.02.05.02 SF.NICOLAE'!J126</f>
        <v>0</v>
      </c>
      <c r="K126" s="104"/>
      <c r="L126" s="103"/>
      <c r="M126" s="781"/>
    </row>
    <row r="127" spans="1:13" s="139" customFormat="1" ht="13.5" hidden="1" thickBot="1" x14ac:dyDescent="0.25">
      <c r="A127" s="689">
        <v>117</v>
      </c>
      <c r="B127" s="138" t="s">
        <v>191</v>
      </c>
      <c r="C127" s="41" t="s">
        <v>197</v>
      </c>
      <c r="D127" s="307">
        <f>'68.02.05.02- AP+IND+RAT'!D127+'68.02.05.02 SF.NICOLAE'!D127</f>
        <v>0</v>
      </c>
      <c r="E127" s="307">
        <f>'68.02.05.02- AP+IND+RAT'!E127+'68.02.05.02 SF.NICOLAE'!E127</f>
        <v>0</v>
      </c>
      <c r="F127" s="307">
        <f>'68.02.05.02- AP+IND+RAT'!F127+'68.02.05.02 SF.NICOLAE'!F127</f>
        <v>0</v>
      </c>
      <c r="G127" s="307">
        <f>'68.02.05.02- AP+IND+RAT'!G127+'68.02.05.02 SF.NICOLAE'!G127</f>
        <v>0</v>
      </c>
      <c r="H127" s="307">
        <f>'68.02.05.02- AP+IND+RAT'!H127+'68.02.05.02 SF.NICOLAE'!H127</f>
        <v>0</v>
      </c>
      <c r="I127" s="307">
        <f>'68.02.05.02- AP+IND+RAT'!I127+'68.02.05.02 SF.NICOLAE'!I127</f>
        <v>0</v>
      </c>
      <c r="J127" s="307">
        <f>'68.02.05.02- AP+IND+RAT'!J127+'68.02.05.02 SF.NICOLAE'!J127</f>
        <v>0</v>
      </c>
      <c r="K127" s="104"/>
      <c r="L127" s="103"/>
      <c r="M127" s="781"/>
    </row>
    <row r="128" spans="1:13" s="139" customFormat="1" ht="26.25" hidden="1" thickBot="1" x14ac:dyDescent="0.25">
      <c r="A128" s="689">
        <v>118</v>
      </c>
      <c r="B128" s="314" t="s">
        <v>198</v>
      </c>
      <c r="C128" s="56" t="s">
        <v>199</v>
      </c>
      <c r="D128" s="307">
        <f>'68.02.05.02- AP+IND+RAT'!D128+'68.02.05.02 SF.NICOLAE'!D128</f>
        <v>0</v>
      </c>
      <c r="E128" s="307">
        <f>'68.02.05.02- AP+IND+RAT'!E128+'68.02.05.02 SF.NICOLAE'!E128</f>
        <v>0</v>
      </c>
      <c r="F128" s="307">
        <f>'68.02.05.02- AP+IND+RAT'!F128+'68.02.05.02 SF.NICOLAE'!F128</f>
        <v>0</v>
      </c>
      <c r="G128" s="307">
        <f>'68.02.05.02- AP+IND+RAT'!G128+'68.02.05.02 SF.NICOLAE'!G128</f>
        <v>0</v>
      </c>
      <c r="H128" s="307">
        <f>'68.02.05.02- AP+IND+RAT'!H128+'68.02.05.02 SF.NICOLAE'!H128</f>
        <v>0</v>
      </c>
      <c r="I128" s="307">
        <f>'68.02.05.02- AP+IND+RAT'!I128+'68.02.05.02 SF.NICOLAE'!I128</f>
        <v>0</v>
      </c>
      <c r="J128" s="307">
        <f>'68.02.05.02- AP+IND+RAT'!J128+'68.02.05.02 SF.NICOLAE'!J128</f>
        <v>0</v>
      </c>
      <c r="K128" s="104"/>
      <c r="L128" s="103"/>
      <c r="M128" s="781"/>
    </row>
    <row r="129" spans="1:15" s="139" customFormat="1" ht="13.5" hidden="1" thickBot="1" x14ac:dyDescent="0.25">
      <c r="A129" s="689">
        <v>119</v>
      </c>
      <c r="B129" s="138" t="s">
        <v>200</v>
      </c>
      <c r="C129" s="41" t="s">
        <v>201</v>
      </c>
      <c r="D129" s="957">
        <f>'68.02.05.02- AP+IND+RAT'!D129+'68.02.05.02 SF.NICOLAE'!D129</f>
        <v>0</v>
      </c>
      <c r="E129" s="958">
        <f>'68.02.05.02- AP+IND+RAT'!E129+'68.02.05.02 SF.NICOLAE'!E129</f>
        <v>0</v>
      </c>
      <c r="F129" s="958">
        <f>'68.02.05.02- AP+IND+RAT'!F129+'68.02.05.02 SF.NICOLAE'!F129</f>
        <v>0</v>
      </c>
      <c r="G129" s="958">
        <f>'68.02.05.02- AP+IND+RAT'!G129+'68.02.05.02 SF.NICOLAE'!G129</f>
        <v>0</v>
      </c>
      <c r="H129" s="958">
        <f>'68.02.05.02- AP+IND+RAT'!H129+'68.02.05.02 SF.NICOLAE'!H129</f>
        <v>0</v>
      </c>
      <c r="I129" s="958">
        <f>'68.02.05.02- AP+IND+RAT'!I129+'68.02.05.02 SF.NICOLAE'!I129</f>
        <v>0</v>
      </c>
      <c r="J129" s="958">
        <f>'68.02.05.02- AP+IND+RAT'!J129+'68.02.05.02 SF.NICOLAE'!J129</f>
        <v>0</v>
      </c>
      <c r="K129" s="104"/>
      <c r="L129" s="103"/>
      <c r="M129" s="781"/>
    </row>
    <row r="130" spans="1:15" s="139" customFormat="1" ht="13.5" hidden="1" thickBot="1" x14ac:dyDescent="0.25">
      <c r="A130" s="689">
        <v>120</v>
      </c>
      <c r="B130" s="138" t="s">
        <v>202</v>
      </c>
      <c r="C130" s="41" t="s">
        <v>203</v>
      </c>
      <c r="D130" s="957">
        <f>'68.02.05.02- AP+IND+RAT'!D130+'68.02.05.02 SF.NICOLAE'!D130</f>
        <v>0</v>
      </c>
      <c r="E130" s="958">
        <f>'68.02.05.02- AP+IND+RAT'!E130+'68.02.05.02 SF.NICOLAE'!E130</f>
        <v>0</v>
      </c>
      <c r="F130" s="958">
        <f>'68.02.05.02- AP+IND+RAT'!F130+'68.02.05.02 SF.NICOLAE'!F130</f>
        <v>0</v>
      </c>
      <c r="G130" s="958">
        <f>'68.02.05.02- AP+IND+RAT'!G130+'68.02.05.02 SF.NICOLAE'!G130</f>
        <v>0</v>
      </c>
      <c r="H130" s="958">
        <f>'68.02.05.02- AP+IND+RAT'!H130+'68.02.05.02 SF.NICOLAE'!H130</f>
        <v>0</v>
      </c>
      <c r="I130" s="958">
        <f>'68.02.05.02- AP+IND+RAT'!I130+'68.02.05.02 SF.NICOLAE'!I130</f>
        <v>0</v>
      </c>
      <c r="J130" s="958">
        <f>'68.02.05.02- AP+IND+RAT'!J130+'68.02.05.02 SF.NICOLAE'!J130</f>
        <v>0</v>
      </c>
      <c r="K130" s="104"/>
      <c r="L130" s="103"/>
      <c r="M130" s="781"/>
    </row>
    <row r="131" spans="1:15" s="139" customFormat="1" ht="13.5" hidden="1" thickBot="1" x14ac:dyDescent="0.25">
      <c r="A131" s="693">
        <v>121</v>
      </c>
      <c r="B131" s="866" t="s">
        <v>204</v>
      </c>
      <c r="C131" s="844" t="s">
        <v>205</v>
      </c>
      <c r="D131" s="976">
        <f>'68.02.05.02- AP+IND+RAT'!D131+'68.02.05.02 SF.NICOLAE'!D131</f>
        <v>0</v>
      </c>
      <c r="E131" s="977">
        <f>'68.02.05.02- AP+IND+RAT'!E131+'68.02.05.02 SF.NICOLAE'!E131</f>
        <v>0</v>
      </c>
      <c r="F131" s="977">
        <f>'68.02.05.02- AP+IND+RAT'!F131+'68.02.05.02 SF.NICOLAE'!F131</f>
        <v>0</v>
      </c>
      <c r="G131" s="977">
        <f>'68.02.05.02- AP+IND+RAT'!G131+'68.02.05.02 SF.NICOLAE'!G131</f>
        <v>0</v>
      </c>
      <c r="H131" s="977">
        <f>'68.02.05.02- AP+IND+RAT'!H131+'68.02.05.02 SF.NICOLAE'!H131</f>
        <v>0</v>
      </c>
      <c r="I131" s="977">
        <f>'68.02.05.02- AP+IND+RAT'!I131+'68.02.05.02 SF.NICOLAE'!I131</f>
        <v>0</v>
      </c>
      <c r="J131" s="977">
        <f>'68.02.05.02- AP+IND+RAT'!J131+'68.02.05.02 SF.NICOLAE'!J131</f>
        <v>0</v>
      </c>
      <c r="K131" s="869"/>
      <c r="L131" s="870"/>
      <c r="M131" s="871"/>
    </row>
    <row r="132" spans="1:15" s="4" customFormat="1" hidden="1" x14ac:dyDescent="0.2">
      <c r="A132" s="820">
        <v>122</v>
      </c>
      <c r="B132" s="862" t="s">
        <v>206</v>
      </c>
      <c r="C132" s="69" t="s">
        <v>207</v>
      </c>
      <c r="D132" s="951"/>
      <c r="E132" s="96"/>
      <c r="F132" s="97">
        <f t="shared" ref="F132:J133" si="1">F133</f>
        <v>0</v>
      </c>
      <c r="G132" s="97">
        <f t="shared" si="1"/>
        <v>0</v>
      </c>
      <c r="H132" s="97">
        <f t="shared" si="1"/>
        <v>0</v>
      </c>
      <c r="I132" s="97">
        <f t="shared" si="1"/>
        <v>0</v>
      </c>
      <c r="J132" s="97">
        <f t="shared" si="1"/>
        <v>0</v>
      </c>
      <c r="K132" s="98"/>
      <c r="L132" s="97"/>
      <c r="M132" s="99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952"/>
      <c r="E133" s="141"/>
      <c r="F133" s="103">
        <f t="shared" si="1"/>
        <v>0</v>
      </c>
      <c r="G133" s="103">
        <f t="shared" si="1"/>
        <v>0</v>
      </c>
      <c r="H133" s="103">
        <f t="shared" si="1"/>
        <v>0</v>
      </c>
      <c r="I133" s="103">
        <f t="shared" si="1"/>
        <v>0</v>
      </c>
      <c r="J133" s="103">
        <f t="shared" si="1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952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95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95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95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95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954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956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132" t="s">
        <v>388</v>
      </c>
      <c r="K143" s="1132"/>
      <c r="L143" s="1132"/>
      <c r="M143" s="1132"/>
      <c r="N143" s="156"/>
      <c r="O143" s="6"/>
    </row>
    <row r="144" spans="1:15" ht="12.75" customHeight="1" x14ac:dyDescent="0.2">
      <c r="J144" s="152" t="s">
        <v>389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32"/>
      <c r="J146" s="1132"/>
      <c r="K146" s="1132"/>
      <c r="L146" s="1132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69" firstPageNumber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1B53-C79B-47F8-996D-FE6A611987AD}">
  <dimension ref="A1:O102"/>
  <sheetViews>
    <sheetView topLeftCell="A10" workbookViewId="0">
      <selection activeCell="C64" sqref="C64:F6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7109375" style="1" customWidth="1"/>
    <col min="4" max="4" width="10.425781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9"/>
      <c r="K1" s="1119"/>
      <c r="L1" s="1119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18" t="s">
        <v>332</v>
      </c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245"/>
    </row>
    <row r="5" spans="1:14" ht="12.75" customHeight="1" x14ac:dyDescent="0.2">
      <c r="B5" s="1"/>
      <c r="C5" s="49" t="s">
        <v>323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B6" s="1195" t="s">
        <v>325</v>
      </c>
      <c r="C6" s="1195"/>
      <c r="D6" s="1195"/>
      <c r="E6" s="1195"/>
      <c r="F6" s="1195"/>
      <c r="G6" s="542"/>
      <c r="H6" s="542"/>
      <c r="I6" s="542"/>
      <c r="J6" s="542"/>
      <c r="K6" s="542"/>
      <c r="L6" s="542"/>
      <c r="M6" s="542"/>
      <c r="N6" s="468"/>
    </row>
    <row r="7" spans="1:14" x14ac:dyDescent="0.2">
      <c r="B7" s="543"/>
      <c r="C7" s="1196"/>
      <c r="D7" s="1196"/>
      <c r="E7" s="1196"/>
      <c r="F7" s="1196"/>
      <c r="G7" s="544"/>
      <c r="H7" s="544"/>
      <c r="I7" s="544"/>
      <c r="J7" s="544"/>
      <c r="K7" s="544"/>
      <c r="L7" s="545"/>
      <c r="M7" s="468"/>
      <c r="N7" s="468"/>
    </row>
    <row r="8" spans="1:14" x14ac:dyDescent="0.2">
      <c r="G8" s="546"/>
      <c r="H8" s="546"/>
      <c r="I8" s="546"/>
      <c r="J8" s="546"/>
      <c r="K8" s="546"/>
      <c r="L8" s="546"/>
      <c r="M8" s="1" t="s">
        <v>302</v>
      </c>
    </row>
    <row r="9" spans="1:14" s="4" customFormat="1" ht="12.75" customHeight="1" x14ac:dyDescent="0.2">
      <c r="A9" s="1134" t="s">
        <v>6</v>
      </c>
      <c r="B9" s="1136" t="s">
        <v>7</v>
      </c>
      <c r="C9" s="1170" t="s">
        <v>8</v>
      </c>
      <c r="D9" s="1197" t="s">
        <v>379</v>
      </c>
      <c r="E9" s="1199"/>
      <c r="F9" s="1188" t="s">
        <v>380</v>
      </c>
      <c r="G9" s="1168" t="s">
        <v>12</v>
      </c>
      <c r="H9" s="1168"/>
      <c r="I9" s="1168"/>
      <c r="J9" s="1168"/>
      <c r="K9" s="1130" t="s">
        <v>13</v>
      </c>
      <c r="L9" s="1130"/>
      <c r="M9" s="1131"/>
    </row>
    <row r="10" spans="1:14" s="4" customFormat="1" ht="42.75" customHeight="1" x14ac:dyDescent="0.2">
      <c r="A10" s="1135"/>
      <c r="B10" s="1137"/>
      <c r="C10" s="1171"/>
      <c r="D10" s="1198"/>
      <c r="E10" s="1200"/>
      <c r="F10" s="1189"/>
      <c r="G10" s="970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547" t="s">
        <v>19</v>
      </c>
      <c r="C11" s="548"/>
      <c r="D11" s="549">
        <f>D12</f>
        <v>0</v>
      </c>
      <c r="E11" s="550">
        <f>E12</f>
        <v>0</v>
      </c>
      <c r="F11" s="551">
        <f>G11+H11+I11+J11</f>
        <v>0</v>
      </c>
      <c r="G11" s="547">
        <f t="shared" ref="G11:M12" si="0">G12</f>
        <v>0</v>
      </c>
      <c r="H11" s="552">
        <f t="shared" si="0"/>
        <v>0</v>
      </c>
      <c r="I11" s="552">
        <f t="shared" si="0"/>
        <v>0</v>
      </c>
      <c r="J11" s="552">
        <f t="shared" si="0"/>
        <v>0</v>
      </c>
      <c r="K11" s="553">
        <f t="shared" si="0"/>
        <v>0</v>
      </c>
      <c r="L11" s="547">
        <f t="shared" si="0"/>
        <v>0</v>
      </c>
      <c r="M11" s="916">
        <f t="shared" si="0"/>
        <v>0</v>
      </c>
    </row>
    <row r="12" spans="1:14" s="4" customFormat="1" ht="12.75" customHeight="1" x14ac:dyDescent="0.2">
      <c r="A12" s="917">
        <f t="shared" ref="A12:A57" si="1">A11+1</f>
        <v>2</v>
      </c>
      <c r="B12" s="179" t="s">
        <v>20</v>
      </c>
      <c r="C12" s="181"/>
      <c r="D12" s="389">
        <f>D13</f>
        <v>0</v>
      </c>
      <c r="E12" s="554">
        <f>E13</f>
        <v>0</v>
      </c>
      <c r="F12" s="555">
        <f>G12+H12+I12+J12</f>
        <v>0</v>
      </c>
      <c r="G12" s="556">
        <f t="shared" si="0"/>
        <v>0</v>
      </c>
      <c r="H12" s="557">
        <f t="shared" si="0"/>
        <v>0</v>
      </c>
      <c r="I12" s="557">
        <f t="shared" si="0"/>
        <v>0</v>
      </c>
      <c r="J12" s="388">
        <f t="shared" si="0"/>
        <v>0</v>
      </c>
      <c r="K12" s="558">
        <f t="shared" si="0"/>
        <v>0</v>
      </c>
      <c r="L12" s="556">
        <f t="shared" si="0"/>
        <v>0</v>
      </c>
      <c r="M12" s="690">
        <f t="shared" si="0"/>
        <v>0</v>
      </c>
    </row>
    <row r="13" spans="1:14" s="4" customFormat="1" x14ac:dyDescent="0.2">
      <c r="A13" s="689">
        <f t="shared" si="1"/>
        <v>3</v>
      </c>
      <c r="B13" s="157" t="s">
        <v>21</v>
      </c>
      <c r="C13" s="559" t="s">
        <v>22</v>
      </c>
      <c r="D13" s="560">
        <f t="shared" ref="D13:M13" si="2">D14+D28</f>
        <v>0</v>
      </c>
      <c r="E13" s="561">
        <f t="shared" si="2"/>
        <v>0</v>
      </c>
      <c r="F13" s="529">
        <f t="shared" si="2"/>
        <v>0</v>
      </c>
      <c r="G13" s="79">
        <f t="shared" si="2"/>
        <v>0</v>
      </c>
      <c r="H13" s="43">
        <f t="shared" si="2"/>
        <v>0</v>
      </c>
      <c r="I13" s="43">
        <f t="shared" si="2"/>
        <v>0</v>
      </c>
      <c r="J13" s="43">
        <f t="shared" si="2"/>
        <v>0</v>
      </c>
      <c r="K13" s="371">
        <f t="shared" si="2"/>
        <v>0</v>
      </c>
      <c r="L13" s="562">
        <f t="shared" si="2"/>
        <v>0</v>
      </c>
      <c r="M13" s="771">
        <f t="shared" si="2"/>
        <v>0</v>
      </c>
    </row>
    <row r="14" spans="1:14" s="4" customFormat="1" ht="25.5" x14ac:dyDescent="0.2">
      <c r="A14" s="702">
        <f t="shared" si="1"/>
        <v>4</v>
      </c>
      <c r="B14" s="563" t="s">
        <v>318</v>
      </c>
      <c r="C14" s="564" t="s">
        <v>24</v>
      </c>
      <c r="D14" s="560">
        <f>D15+D26</f>
        <v>0</v>
      </c>
      <c r="E14" s="561">
        <f>E15+E26</f>
        <v>0</v>
      </c>
      <c r="F14" s="529">
        <f>F15+F24+F27</f>
        <v>0</v>
      </c>
      <c r="G14" s="79">
        <f>G15+G24+G27</f>
        <v>0</v>
      </c>
      <c r="H14" s="43">
        <f>H15+H24+H27</f>
        <v>0</v>
      </c>
      <c r="I14" s="43">
        <f>I15+I24+I27</f>
        <v>0</v>
      </c>
      <c r="J14" s="43">
        <f>J15+J24+J27</f>
        <v>0</v>
      </c>
      <c r="K14" s="565">
        <f>F14*101.2%</f>
        <v>0</v>
      </c>
      <c r="L14" s="536">
        <f>F14*101.5%</f>
        <v>0</v>
      </c>
      <c r="M14" s="918">
        <f>F14*101.8%</f>
        <v>0</v>
      </c>
    </row>
    <row r="15" spans="1:14" s="4" customFormat="1" x14ac:dyDescent="0.2">
      <c r="A15" s="689">
        <f t="shared" si="1"/>
        <v>5</v>
      </c>
      <c r="B15" s="55" t="s">
        <v>25</v>
      </c>
      <c r="C15" s="564" t="s">
        <v>26</v>
      </c>
      <c r="D15" s="560">
        <f>D16+D17+D18+D21+D22+D23</f>
        <v>0</v>
      </c>
      <c r="E15" s="561">
        <f>E16+E17+E18+E21+E22</f>
        <v>0</v>
      </c>
      <c r="F15" s="529">
        <f>F16+F17+F18+F20+F21+F22+F23</f>
        <v>0</v>
      </c>
      <c r="G15" s="79">
        <f>G16+G17+G18+G20+G21+G22+G23</f>
        <v>0</v>
      </c>
      <c r="H15" s="79">
        <f>H16+H17+H18+H20+H21+H22+H23</f>
        <v>0</v>
      </c>
      <c r="I15" s="79">
        <f>I16+I17+I18+I20+I21+I22+I23</f>
        <v>0</v>
      </c>
      <c r="J15" s="79">
        <f>J16+J17+J18+J20+J21+J22+J23</f>
        <v>0</v>
      </c>
      <c r="K15" s="565"/>
      <c r="L15" s="537"/>
      <c r="M15" s="745"/>
    </row>
    <row r="16" spans="1:14" s="4" customFormat="1" x14ac:dyDescent="0.2">
      <c r="A16" s="702">
        <f t="shared" si="1"/>
        <v>6</v>
      </c>
      <c r="B16" s="40" t="s">
        <v>27</v>
      </c>
      <c r="C16" s="190" t="s">
        <v>28</v>
      </c>
      <c r="D16" s="540">
        <v>0</v>
      </c>
      <c r="E16" s="567">
        <v>0</v>
      </c>
      <c r="F16" s="383">
        <f>G16+H16+I16+J16</f>
        <v>0</v>
      </c>
      <c r="G16" s="531">
        <v>0</v>
      </c>
      <c r="H16" s="532">
        <v>0</v>
      </c>
      <c r="I16" s="532">
        <v>0</v>
      </c>
      <c r="J16" s="533">
        <v>0</v>
      </c>
      <c r="K16" s="568"/>
      <c r="L16" s="532"/>
      <c r="M16" s="743"/>
    </row>
    <row r="17" spans="1:13" s="4" customFormat="1" x14ac:dyDescent="0.2">
      <c r="A17" s="689">
        <f t="shared" si="1"/>
        <v>7</v>
      </c>
      <c r="B17" s="40" t="s">
        <v>304</v>
      </c>
      <c r="C17" s="190" t="s">
        <v>30</v>
      </c>
      <c r="D17" s="540">
        <v>0</v>
      </c>
      <c r="E17" s="567">
        <v>0</v>
      </c>
      <c r="F17" s="383">
        <f>G17+H17+I17+J17</f>
        <v>0</v>
      </c>
      <c r="G17" s="531">
        <v>0</v>
      </c>
      <c r="H17" s="532">
        <v>0</v>
      </c>
      <c r="I17" s="532">
        <v>0</v>
      </c>
      <c r="J17" s="533">
        <v>0</v>
      </c>
      <c r="K17" s="568"/>
      <c r="L17" s="532"/>
      <c r="M17" s="743"/>
    </row>
    <row r="18" spans="1:13" s="4" customFormat="1" x14ac:dyDescent="0.2">
      <c r="A18" s="702">
        <f t="shared" si="1"/>
        <v>8</v>
      </c>
      <c r="B18" s="40" t="s">
        <v>320</v>
      </c>
      <c r="C18" s="190" t="s">
        <v>32</v>
      </c>
      <c r="D18" s="540">
        <v>0</v>
      </c>
      <c r="E18" s="567">
        <v>0</v>
      </c>
      <c r="F18" s="383">
        <f>G18+H18+I18+J18</f>
        <v>0</v>
      </c>
      <c r="G18" s="531">
        <v>0</v>
      </c>
      <c r="H18" s="532">
        <v>0</v>
      </c>
      <c r="I18" s="532">
        <v>0</v>
      </c>
      <c r="J18" s="533">
        <v>0</v>
      </c>
      <c r="K18" s="568"/>
      <c r="L18" s="532"/>
      <c r="M18" s="743"/>
    </row>
    <row r="19" spans="1:13" s="4" customFormat="1" hidden="1" x14ac:dyDescent="0.2">
      <c r="A19" s="689">
        <f t="shared" si="1"/>
        <v>9</v>
      </c>
      <c r="B19" s="320" t="s">
        <v>305</v>
      </c>
      <c r="C19" s="7" t="s">
        <v>34</v>
      </c>
      <c r="D19" s="540"/>
      <c r="E19" s="567"/>
      <c r="F19" s="383"/>
      <c r="G19" s="531"/>
      <c r="H19" s="532"/>
      <c r="I19" s="532"/>
      <c r="J19" s="533"/>
      <c r="K19" s="568"/>
      <c r="L19" s="532"/>
      <c r="M19" s="743"/>
    </row>
    <row r="20" spans="1:13" s="4" customFormat="1" hidden="1" x14ac:dyDescent="0.2">
      <c r="A20" s="702">
        <f t="shared" si="1"/>
        <v>10</v>
      </c>
      <c r="B20" s="40" t="s">
        <v>321</v>
      </c>
      <c r="C20" s="190" t="s">
        <v>36</v>
      </c>
      <c r="D20" s="540">
        <v>0</v>
      </c>
      <c r="E20" s="567">
        <v>0</v>
      </c>
      <c r="F20" s="383">
        <f t="shared" ref="F20:F29" si="3">G20+H20+I20+J20</f>
        <v>0</v>
      </c>
      <c r="G20" s="531"/>
      <c r="H20" s="532"/>
      <c r="I20" s="532"/>
      <c r="J20" s="533"/>
      <c r="K20" s="568"/>
      <c r="L20" s="532"/>
      <c r="M20" s="743"/>
    </row>
    <row r="21" spans="1:13" s="4" customFormat="1" hidden="1" x14ac:dyDescent="0.2">
      <c r="A21" s="689">
        <f t="shared" si="1"/>
        <v>11</v>
      </c>
      <c r="B21" s="40" t="s">
        <v>306</v>
      </c>
      <c r="C21" s="190" t="s">
        <v>307</v>
      </c>
      <c r="D21" s="540">
        <v>0</v>
      </c>
      <c r="E21" s="567">
        <v>0</v>
      </c>
      <c r="F21" s="383">
        <f t="shared" si="3"/>
        <v>0</v>
      </c>
      <c r="G21" s="531"/>
      <c r="H21" s="532"/>
      <c r="I21" s="532"/>
      <c r="J21" s="533"/>
      <c r="K21" s="568"/>
      <c r="L21" s="532"/>
      <c r="M21" s="743"/>
    </row>
    <row r="22" spans="1:13" s="4" customFormat="1" x14ac:dyDescent="0.2">
      <c r="A22" s="702">
        <f t="shared" si="1"/>
        <v>12</v>
      </c>
      <c r="B22" s="40" t="s">
        <v>326</v>
      </c>
      <c r="C22" s="190" t="s">
        <v>38</v>
      </c>
      <c r="D22" s="540">
        <v>0</v>
      </c>
      <c r="E22" s="567">
        <v>0</v>
      </c>
      <c r="F22" s="383">
        <f>G22+H22+I22+J22</f>
        <v>0</v>
      </c>
      <c r="G22" s="531">
        <v>0</v>
      </c>
      <c r="H22" s="532">
        <v>0</v>
      </c>
      <c r="I22" s="532">
        <v>0</v>
      </c>
      <c r="J22" s="533">
        <v>0</v>
      </c>
      <c r="K22" s="568"/>
      <c r="L22" s="532"/>
      <c r="M22" s="743"/>
    </row>
    <row r="23" spans="1:13" s="4" customFormat="1" x14ac:dyDescent="0.2">
      <c r="A23" s="689">
        <f t="shared" si="1"/>
        <v>13</v>
      </c>
      <c r="B23" s="183" t="s">
        <v>39</v>
      </c>
      <c r="C23" s="452" t="s">
        <v>40</v>
      </c>
      <c r="D23" s="570">
        <v>0</v>
      </c>
      <c r="E23" s="571">
        <v>0</v>
      </c>
      <c r="F23" s="383">
        <f t="shared" si="3"/>
        <v>0</v>
      </c>
      <c r="G23" s="531">
        <v>0</v>
      </c>
      <c r="H23" s="532">
        <v>0</v>
      </c>
      <c r="I23" s="532">
        <v>0</v>
      </c>
      <c r="J23" s="533">
        <v>0</v>
      </c>
      <c r="K23" s="568"/>
      <c r="L23" s="532"/>
      <c r="M23" s="743"/>
    </row>
    <row r="24" spans="1:13" s="4" customFormat="1" x14ac:dyDescent="0.2">
      <c r="A24" s="702">
        <f t="shared" si="1"/>
        <v>14</v>
      </c>
      <c r="B24" s="572" t="s">
        <v>322</v>
      </c>
      <c r="C24" s="573" t="s">
        <v>42</v>
      </c>
      <c r="D24" s="944">
        <f>D25</f>
        <v>0</v>
      </c>
      <c r="E24" s="945">
        <f>E25</f>
        <v>0</v>
      </c>
      <c r="F24" s="946">
        <f t="shared" si="3"/>
        <v>0</v>
      </c>
      <c r="G24" s="531">
        <f>G25</f>
        <v>0</v>
      </c>
      <c r="H24" s="532">
        <f>H25</f>
        <v>0</v>
      </c>
      <c r="I24" s="532">
        <f>I25</f>
        <v>0</v>
      </c>
      <c r="J24" s="532">
        <f>J25</f>
        <v>0</v>
      </c>
      <c r="K24" s="568"/>
      <c r="L24" s="532"/>
      <c r="M24" s="743"/>
    </row>
    <row r="25" spans="1:13" s="4" customFormat="1" x14ac:dyDescent="0.2">
      <c r="A25" s="689">
        <f t="shared" si="1"/>
        <v>15</v>
      </c>
      <c r="B25" s="40" t="s">
        <v>43</v>
      </c>
      <c r="C25" s="190" t="s">
        <v>44</v>
      </c>
      <c r="D25" s="540">
        <v>0</v>
      </c>
      <c r="E25" s="567">
        <v>0</v>
      </c>
      <c r="F25" s="383">
        <f t="shared" si="3"/>
        <v>0</v>
      </c>
      <c r="G25" s="531">
        <v>0</v>
      </c>
      <c r="H25" s="532">
        <v>0</v>
      </c>
      <c r="I25" s="532">
        <v>0</v>
      </c>
      <c r="J25" s="533">
        <v>0</v>
      </c>
      <c r="K25" s="568"/>
      <c r="L25" s="532"/>
      <c r="M25" s="743"/>
    </row>
    <row r="26" spans="1:13" s="4" customFormat="1" x14ac:dyDescent="0.2">
      <c r="A26" s="702">
        <f t="shared" si="1"/>
        <v>16</v>
      </c>
      <c r="B26" s="55" t="s">
        <v>45</v>
      </c>
      <c r="C26" s="263" t="s">
        <v>46</v>
      </c>
      <c r="D26" s="560">
        <f>D27</f>
        <v>0</v>
      </c>
      <c r="E26" s="561">
        <f>E27</f>
        <v>0</v>
      </c>
      <c r="F26" s="529">
        <f t="shared" si="3"/>
        <v>0</v>
      </c>
      <c r="G26" s="536">
        <f>G27</f>
        <v>0</v>
      </c>
      <c r="H26" s="537">
        <f>H27</f>
        <v>0</v>
      </c>
      <c r="I26" s="537">
        <f>I27</f>
        <v>0</v>
      </c>
      <c r="J26" s="537">
        <f>J27</f>
        <v>0</v>
      </c>
      <c r="K26" s="565"/>
      <c r="L26" s="537"/>
      <c r="M26" s="745"/>
    </row>
    <row r="27" spans="1:13" s="4" customFormat="1" x14ac:dyDescent="0.2">
      <c r="A27" s="693">
        <f t="shared" si="1"/>
        <v>17</v>
      </c>
      <c r="B27" s="901" t="s">
        <v>57</v>
      </c>
      <c r="C27" s="919" t="s">
        <v>58</v>
      </c>
      <c r="D27" s="920">
        <v>0</v>
      </c>
      <c r="E27" s="921">
        <v>0</v>
      </c>
      <c r="F27" s="922">
        <f t="shared" si="3"/>
        <v>0</v>
      </c>
      <c r="G27" s="923">
        <v>0</v>
      </c>
      <c r="H27" s="924">
        <v>0</v>
      </c>
      <c r="I27" s="924">
        <v>0</v>
      </c>
      <c r="J27" s="925">
        <v>0</v>
      </c>
      <c r="K27" s="926"/>
      <c r="L27" s="924"/>
      <c r="M27" s="927"/>
    </row>
    <row r="28" spans="1:13" s="4" customFormat="1" ht="25.5" hidden="1" x14ac:dyDescent="0.2">
      <c r="A28" s="39">
        <f t="shared" si="1"/>
        <v>18</v>
      </c>
      <c r="B28" s="576" t="s">
        <v>61</v>
      </c>
      <c r="C28" s="577">
        <v>20</v>
      </c>
      <c r="D28" s="578">
        <f>D41</f>
        <v>0</v>
      </c>
      <c r="E28" s="579">
        <f>E41</f>
        <v>0</v>
      </c>
      <c r="F28" s="580">
        <f t="shared" si="3"/>
        <v>0</v>
      </c>
      <c r="G28" s="581">
        <f>G29+G39+G40+G41+G45+G49+G52+G53+G54+G56</f>
        <v>0</v>
      </c>
      <c r="H28" s="582">
        <f>H29+H39+H40+H41+H45+H49+H52+H53+H54+H56</f>
        <v>0</v>
      </c>
      <c r="I28" s="582">
        <f>I29+I39+I40+I41+I45+I49+I52+I53+I54+I56</f>
        <v>0</v>
      </c>
      <c r="J28" s="583">
        <f>J29+J39+J40+J41+J45+J49+J52+J53+J54+J56</f>
        <v>0</v>
      </c>
      <c r="K28" s="584"/>
      <c r="L28" s="582"/>
      <c r="M28" s="585"/>
    </row>
    <row r="29" spans="1:13" s="4" customFormat="1" ht="12.75" hidden="1" customHeight="1" x14ac:dyDescent="0.2">
      <c r="A29" s="47">
        <f t="shared" si="1"/>
        <v>19</v>
      </c>
      <c r="B29" s="160" t="s">
        <v>62</v>
      </c>
      <c r="C29" s="189" t="s">
        <v>63</v>
      </c>
      <c r="D29" s="560"/>
      <c r="E29" s="561"/>
      <c r="F29" s="529">
        <f t="shared" si="3"/>
        <v>0</v>
      </c>
      <c r="G29" s="536">
        <f>G30+G31+G32+G33+G34+G35+G36+G37+G38</f>
        <v>0</v>
      </c>
      <c r="H29" s="537">
        <f>H30+H31+H32+H33+H34+H35+H36+H37+H38</f>
        <v>0</v>
      </c>
      <c r="I29" s="537">
        <f>I30+I31+I32+I33+I34+I35+I36+I37+I38</f>
        <v>0</v>
      </c>
      <c r="J29" s="538">
        <f>J30+J31+J32+J33+J34+J35+J36+J37+J38</f>
        <v>0</v>
      </c>
      <c r="K29" s="565"/>
      <c r="L29" s="537"/>
      <c r="M29" s="566"/>
    </row>
    <row r="30" spans="1:13" s="4" customFormat="1" ht="12.75" hidden="1" customHeight="1" x14ac:dyDescent="0.2">
      <c r="A30" s="172">
        <f t="shared" si="1"/>
        <v>20</v>
      </c>
      <c r="B30" s="59" t="s">
        <v>64</v>
      </c>
      <c r="C30" s="190" t="s">
        <v>65</v>
      </c>
      <c r="D30" s="540"/>
      <c r="E30" s="567"/>
      <c r="F30" s="383"/>
      <c r="G30" s="531"/>
      <c r="H30" s="532"/>
      <c r="I30" s="532"/>
      <c r="J30" s="533"/>
      <c r="K30" s="568"/>
      <c r="L30" s="532"/>
      <c r="M30" s="569"/>
    </row>
    <row r="31" spans="1:13" s="4" customFormat="1" ht="12.75" hidden="1" customHeight="1" x14ac:dyDescent="0.2">
      <c r="A31" s="47">
        <f t="shared" si="1"/>
        <v>21</v>
      </c>
      <c r="B31" s="59" t="s">
        <v>68</v>
      </c>
      <c r="C31" s="190" t="s">
        <v>69</v>
      </c>
      <c r="D31" s="540"/>
      <c r="E31" s="567"/>
      <c r="F31" s="383"/>
      <c r="G31" s="531"/>
      <c r="H31" s="532"/>
      <c r="I31" s="532"/>
      <c r="J31" s="533"/>
      <c r="K31" s="568"/>
      <c r="L31" s="532"/>
      <c r="M31" s="569"/>
    </row>
    <row r="32" spans="1:13" s="4" customFormat="1" ht="12.75" hidden="1" customHeight="1" x14ac:dyDescent="0.2">
      <c r="A32" s="172">
        <f t="shared" si="1"/>
        <v>22</v>
      </c>
      <c r="B32" s="59" t="s">
        <v>72</v>
      </c>
      <c r="C32" s="190" t="s">
        <v>73</v>
      </c>
      <c r="D32" s="540"/>
      <c r="E32" s="567"/>
      <c r="F32" s="383"/>
      <c r="G32" s="531"/>
      <c r="H32" s="532"/>
      <c r="I32" s="532"/>
      <c r="J32" s="533"/>
      <c r="K32" s="568"/>
      <c r="L32" s="532"/>
      <c r="M32" s="569"/>
    </row>
    <row r="33" spans="1:13" s="4" customFormat="1" ht="12.75" hidden="1" customHeight="1" x14ac:dyDescent="0.2">
      <c r="A33" s="47">
        <f t="shared" si="1"/>
        <v>23</v>
      </c>
      <c r="B33" s="59" t="s">
        <v>74</v>
      </c>
      <c r="C33" s="190" t="s">
        <v>75</v>
      </c>
      <c r="D33" s="540"/>
      <c r="E33" s="567"/>
      <c r="F33" s="383"/>
      <c r="G33" s="531"/>
      <c r="H33" s="532"/>
      <c r="I33" s="532"/>
      <c r="J33" s="533"/>
      <c r="K33" s="568"/>
      <c r="L33" s="532"/>
      <c r="M33" s="569"/>
    </row>
    <row r="34" spans="1:13" s="4" customFormat="1" ht="12.75" hidden="1" customHeight="1" x14ac:dyDescent="0.2">
      <c r="A34" s="172">
        <f t="shared" si="1"/>
        <v>24</v>
      </c>
      <c r="B34" s="59" t="s">
        <v>76</v>
      </c>
      <c r="C34" s="190" t="s">
        <v>77</v>
      </c>
      <c r="D34" s="540"/>
      <c r="E34" s="567"/>
      <c r="F34" s="383"/>
      <c r="G34" s="531"/>
      <c r="H34" s="532"/>
      <c r="I34" s="532"/>
      <c r="J34" s="533"/>
      <c r="K34" s="568"/>
      <c r="L34" s="532"/>
      <c r="M34" s="569"/>
    </row>
    <row r="35" spans="1:13" s="4" customFormat="1" ht="12.75" hidden="1" customHeight="1" x14ac:dyDescent="0.2">
      <c r="A35" s="47">
        <f t="shared" si="1"/>
        <v>25</v>
      </c>
      <c r="B35" s="59" t="s">
        <v>78</v>
      </c>
      <c r="C35" s="190" t="s">
        <v>79</v>
      </c>
      <c r="D35" s="540"/>
      <c r="E35" s="567"/>
      <c r="F35" s="383"/>
      <c r="G35" s="531"/>
      <c r="H35" s="532"/>
      <c r="I35" s="532"/>
      <c r="J35" s="533"/>
      <c r="K35" s="568"/>
      <c r="L35" s="532"/>
      <c r="M35" s="569"/>
    </row>
    <row r="36" spans="1:13" s="4" customFormat="1" ht="12.75" hidden="1" customHeight="1" x14ac:dyDescent="0.2">
      <c r="A36" s="172">
        <f t="shared" si="1"/>
        <v>26</v>
      </c>
      <c r="B36" s="59" t="s">
        <v>80</v>
      </c>
      <c r="C36" s="190" t="s">
        <v>81</v>
      </c>
      <c r="D36" s="540"/>
      <c r="E36" s="567"/>
      <c r="F36" s="383"/>
      <c r="G36" s="531"/>
      <c r="H36" s="532"/>
      <c r="I36" s="532"/>
      <c r="J36" s="533"/>
      <c r="K36" s="568"/>
      <c r="L36" s="532"/>
      <c r="M36" s="569"/>
    </row>
    <row r="37" spans="1:13" s="4" customFormat="1" ht="12.75" hidden="1" customHeight="1" x14ac:dyDescent="0.2">
      <c r="A37" s="47">
        <f t="shared" si="1"/>
        <v>27</v>
      </c>
      <c r="B37" s="74" t="s">
        <v>83</v>
      </c>
      <c r="C37" s="190" t="s">
        <v>84</v>
      </c>
      <c r="D37" s="540"/>
      <c r="E37" s="567"/>
      <c r="F37" s="383"/>
      <c r="G37" s="531"/>
      <c r="H37" s="532"/>
      <c r="I37" s="532"/>
      <c r="J37" s="533"/>
      <c r="K37" s="568"/>
      <c r="L37" s="532"/>
      <c r="M37" s="569"/>
    </row>
    <row r="38" spans="1:13" s="4" customFormat="1" ht="12.75" hidden="1" customHeight="1" x14ac:dyDescent="0.2">
      <c r="A38" s="172">
        <f t="shared" si="1"/>
        <v>28</v>
      </c>
      <c r="B38" s="59" t="s">
        <v>86</v>
      </c>
      <c r="C38" s="190" t="s">
        <v>87</v>
      </c>
      <c r="D38" s="540"/>
      <c r="E38" s="567"/>
      <c r="F38" s="383"/>
      <c r="G38" s="531"/>
      <c r="H38" s="532"/>
      <c r="I38" s="532"/>
      <c r="J38" s="533"/>
      <c r="K38" s="568"/>
      <c r="L38" s="532"/>
      <c r="M38" s="569"/>
    </row>
    <row r="39" spans="1:13" s="4" customFormat="1" ht="12.75" hidden="1" customHeight="1" x14ac:dyDescent="0.2">
      <c r="A39" s="47">
        <f t="shared" si="1"/>
        <v>29</v>
      </c>
      <c r="B39" s="55" t="s">
        <v>91</v>
      </c>
      <c r="C39" s="559" t="s">
        <v>92</v>
      </c>
      <c r="D39" s="560"/>
      <c r="E39" s="561"/>
      <c r="F39" s="529"/>
      <c r="G39" s="536"/>
      <c r="H39" s="537"/>
      <c r="I39" s="537"/>
      <c r="J39" s="538"/>
      <c r="K39" s="565"/>
      <c r="L39" s="537"/>
      <c r="M39" s="566"/>
    </row>
    <row r="40" spans="1:13" s="4" customFormat="1" ht="12.75" hidden="1" customHeight="1" x14ac:dyDescent="0.2">
      <c r="A40" s="172">
        <f t="shared" si="1"/>
        <v>30</v>
      </c>
      <c r="B40" s="55" t="s">
        <v>309</v>
      </c>
      <c r="C40" s="559" t="s">
        <v>310</v>
      </c>
      <c r="D40" s="560"/>
      <c r="E40" s="561"/>
      <c r="F40" s="529"/>
      <c r="G40" s="536"/>
      <c r="H40" s="537"/>
      <c r="I40" s="537"/>
      <c r="J40" s="538"/>
      <c r="K40" s="565"/>
      <c r="L40" s="537"/>
      <c r="M40" s="566"/>
    </row>
    <row r="41" spans="1:13" s="4" customFormat="1" hidden="1" x14ac:dyDescent="0.2">
      <c r="A41" s="47">
        <f t="shared" si="1"/>
        <v>31</v>
      </c>
      <c r="B41" s="55" t="s">
        <v>95</v>
      </c>
      <c r="C41" s="189" t="s">
        <v>96</v>
      </c>
      <c r="D41" s="560">
        <f>D42+D43+D44</f>
        <v>0</v>
      </c>
      <c r="E41" s="561">
        <f>E42+E43+E44</f>
        <v>0</v>
      </c>
      <c r="F41" s="529">
        <f>G41+H41+I41+J41</f>
        <v>0</v>
      </c>
      <c r="G41" s="536">
        <f>G42+G43+G44</f>
        <v>0</v>
      </c>
      <c r="H41" s="537">
        <f>H42+H43+H44</f>
        <v>0</v>
      </c>
      <c r="I41" s="537">
        <f>I42+I43+I44</f>
        <v>0</v>
      </c>
      <c r="J41" s="537">
        <f>J42+J43+J44</f>
        <v>0</v>
      </c>
      <c r="K41" s="565"/>
      <c r="L41" s="537"/>
      <c r="M41" s="566"/>
    </row>
    <row r="42" spans="1:13" s="4" customFormat="1" hidden="1" x14ac:dyDescent="0.2">
      <c r="A42" s="172">
        <f t="shared" si="1"/>
        <v>32</v>
      </c>
      <c r="B42" s="59" t="s">
        <v>97</v>
      </c>
      <c r="C42" s="117" t="s">
        <v>98</v>
      </c>
      <c r="D42" s="540">
        <v>0</v>
      </c>
      <c r="E42" s="42">
        <v>0</v>
      </c>
      <c r="F42" s="383">
        <f>G42+H42+I42+J42</f>
        <v>0</v>
      </c>
      <c r="G42" s="531"/>
      <c r="H42" s="532"/>
      <c r="I42" s="532"/>
      <c r="J42" s="533"/>
      <c r="K42" s="568"/>
      <c r="L42" s="532"/>
      <c r="M42" s="569"/>
    </row>
    <row r="43" spans="1:13" s="4" customFormat="1" hidden="1" x14ac:dyDescent="0.2">
      <c r="A43" s="47">
        <f t="shared" si="1"/>
        <v>33</v>
      </c>
      <c r="B43" s="59" t="s">
        <v>99</v>
      </c>
      <c r="C43" s="117" t="s">
        <v>100</v>
      </c>
      <c r="D43" s="540">
        <v>0</v>
      </c>
      <c r="E43" s="42">
        <v>0</v>
      </c>
      <c r="F43" s="383">
        <f>G43+H43+I43+J43</f>
        <v>0</v>
      </c>
      <c r="G43" s="531"/>
      <c r="H43" s="532"/>
      <c r="I43" s="532"/>
      <c r="J43" s="533"/>
      <c r="K43" s="568"/>
      <c r="L43" s="532"/>
      <c r="M43" s="569"/>
    </row>
    <row r="44" spans="1:13" s="4" customFormat="1" hidden="1" x14ac:dyDescent="0.2">
      <c r="A44" s="172">
        <f t="shared" si="1"/>
        <v>34</v>
      </c>
      <c r="B44" s="106" t="s">
        <v>101</v>
      </c>
      <c r="C44" s="196" t="s">
        <v>102</v>
      </c>
      <c r="D44" s="497">
        <v>0</v>
      </c>
      <c r="E44" s="82">
        <v>0</v>
      </c>
      <c r="F44" s="498">
        <f>G44+H44+I44+J44</f>
        <v>0</v>
      </c>
      <c r="G44" s="499"/>
      <c r="H44" s="500"/>
      <c r="I44" s="500"/>
      <c r="J44" s="501"/>
      <c r="K44" s="574"/>
      <c r="L44" s="500"/>
      <c r="M44" s="575"/>
    </row>
    <row r="45" spans="1:13" s="4" customFormat="1" hidden="1" x14ac:dyDescent="0.2">
      <c r="A45" s="172">
        <f t="shared" si="1"/>
        <v>35</v>
      </c>
      <c r="B45" s="467" t="s">
        <v>311</v>
      </c>
      <c r="C45" s="69" t="s">
        <v>105</v>
      </c>
      <c r="D45" s="96"/>
      <c r="E45" s="96"/>
      <c r="F45" s="503">
        <f>G45+H45+I45+J45</f>
        <v>0</v>
      </c>
      <c r="G45" s="504">
        <f>G46+G47+G48</f>
        <v>0</v>
      </c>
      <c r="H45" s="504">
        <f>H46+H47+H48</f>
        <v>0</v>
      </c>
      <c r="I45" s="504">
        <f>I46+I47+I48</f>
        <v>0</v>
      </c>
      <c r="J45" s="505">
        <f>J46+J47+J48</f>
        <v>0</v>
      </c>
      <c r="K45" s="506"/>
      <c r="L45" s="504"/>
      <c r="M45" s="507"/>
    </row>
    <row r="46" spans="1:13" s="4" customFormat="1" hidden="1" x14ac:dyDescent="0.2">
      <c r="A46" s="47">
        <f t="shared" si="1"/>
        <v>36</v>
      </c>
      <c r="B46" s="59" t="s">
        <v>106</v>
      </c>
      <c r="C46" s="41" t="s">
        <v>107</v>
      </c>
      <c r="D46" s="117"/>
      <c r="E46" s="117"/>
      <c r="F46" s="508">
        <v>0</v>
      </c>
      <c r="G46" s="509">
        <v>0</v>
      </c>
      <c r="H46" s="509">
        <v>0</v>
      </c>
      <c r="I46" s="509">
        <v>0</v>
      </c>
      <c r="J46" s="510">
        <v>0</v>
      </c>
      <c r="K46" s="511"/>
      <c r="L46" s="509"/>
      <c r="M46" s="512"/>
    </row>
    <row r="47" spans="1:13" s="4" customFormat="1" hidden="1" x14ac:dyDescent="0.2">
      <c r="A47" s="172">
        <f t="shared" si="1"/>
        <v>37</v>
      </c>
      <c r="B47" s="59" t="s">
        <v>108</v>
      </c>
      <c r="C47" s="41" t="s">
        <v>109</v>
      </c>
      <c r="D47" s="117"/>
      <c r="E47" s="117"/>
      <c r="F47" s="508">
        <v>0</v>
      </c>
      <c r="G47" s="509">
        <v>0</v>
      </c>
      <c r="H47" s="509">
        <v>0</v>
      </c>
      <c r="I47" s="509">
        <v>0</v>
      </c>
      <c r="J47" s="510">
        <v>0</v>
      </c>
      <c r="K47" s="511"/>
      <c r="L47" s="509"/>
      <c r="M47" s="512"/>
    </row>
    <row r="48" spans="1:13" s="4" customFormat="1" hidden="1" x14ac:dyDescent="0.2">
      <c r="A48" s="47">
        <f t="shared" si="1"/>
        <v>38</v>
      </c>
      <c r="B48" s="59" t="s">
        <v>110</v>
      </c>
      <c r="C48" s="41" t="s">
        <v>111</v>
      </c>
      <c r="D48" s="117"/>
      <c r="E48" s="117"/>
      <c r="F48" s="508">
        <f>G48+H48+I48+J48</f>
        <v>0</v>
      </c>
      <c r="G48" s="509">
        <v>0</v>
      </c>
      <c r="H48" s="509">
        <v>0</v>
      </c>
      <c r="I48" s="509">
        <v>0</v>
      </c>
      <c r="J48" s="510">
        <v>0</v>
      </c>
      <c r="K48" s="511"/>
      <c r="L48" s="509"/>
      <c r="M48" s="512"/>
    </row>
    <row r="49" spans="1:15" s="4" customFormat="1" ht="12.75" hidden="1" customHeight="1" x14ac:dyDescent="0.2">
      <c r="A49" s="172">
        <f t="shared" si="1"/>
        <v>39</v>
      </c>
      <c r="B49" s="77" t="s">
        <v>113</v>
      </c>
      <c r="C49" s="56" t="s">
        <v>114</v>
      </c>
      <c r="D49" s="114"/>
      <c r="E49" s="114"/>
      <c r="F49" s="508"/>
      <c r="G49" s="509"/>
      <c r="H49" s="509"/>
      <c r="I49" s="509"/>
      <c r="J49" s="510"/>
      <c r="K49" s="511"/>
      <c r="L49" s="509"/>
      <c r="M49" s="512"/>
    </row>
    <row r="50" spans="1:15" s="4" customFormat="1" ht="12.75" hidden="1" customHeight="1" x14ac:dyDescent="0.2">
      <c r="A50" s="47">
        <f t="shared" si="1"/>
        <v>40</v>
      </c>
      <c r="B50" s="59" t="s">
        <v>115</v>
      </c>
      <c r="C50" s="41" t="s">
        <v>116</v>
      </c>
      <c r="D50" s="117"/>
      <c r="E50" s="117"/>
      <c r="F50" s="508"/>
      <c r="G50" s="509"/>
      <c r="H50" s="509"/>
      <c r="I50" s="509"/>
      <c r="J50" s="510"/>
      <c r="K50" s="511"/>
      <c r="L50" s="509"/>
      <c r="M50" s="512"/>
    </row>
    <row r="51" spans="1:15" s="4" customFormat="1" ht="12.75" hidden="1" customHeight="1" x14ac:dyDescent="0.2">
      <c r="A51" s="172">
        <f t="shared" si="1"/>
        <v>41</v>
      </c>
      <c r="B51" s="59" t="s">
        <v>117</v>
      </c>
      <c r="C51" s="41" t="s">
        <v>118</v>
      </c>
      <c r="D51" s="117"/>
      <c r="E51" s="117"/>
      <c r="F51" s="508"/>
      <c r="G51" s="509"/>
      <c r="H51" s="509"/>
      <c r="I51" s="509"/>
      <c r="J51" s="510"/>
      <c r="K51" s="511"/>
      <c r="L51" s="509"/>
      <c r="M51" s="512"/>
    </row>
    <row r="52" spans="1:15" s="4" customFormat="1" ht="12.75" hidden="1" customHeight="1" x14ac:dyDescent="0.2">
      <c r="A52" s="47">
        <f t="shared" si="1"/>
        <v>42</v>
      </c>
      <c r="B52" s="55" t="s">
        <v>119</v>
      </c>
      <c r="C52" s="56" t="s">
        <v>120</v>
      </c>
      <c r="D52" s="114"/>
      <c r="E52" s="114"/>
      <c r="F52" s="508"/>
      <c r="G52" s="513"/>
      <c r="H52" s="513"/>
      <c r="I52" s="513"/>
      <c r="J52" s="514"/>
      <c r="K52" s="515"/>
      <c r="L52" s="513"/>
      <c r="M52" s="516"/>
    </row>
    <row r="53" spans="1:15" s="4" customFormat="1" ht="12.75" hidden="1" customHeight="1" x14ac:dyDescent="0.2">
      <c r="A53" s="172">
        <f t="shared" si="1"/>
        <v>43</v>
      </c>
      <c r="B53" s="55" t="s">
        <v>121</v>
      </c>
      <c r="C53" s="56" t="s">
        <v>122</v>
      </c>
      <c r="D53" s="114"/>
      <c r="E53" s="114"/>
      <c r="F53" s="508"/>
      <c r="G53" s="513"/>
      <c r="H53" s="513"/>
      <c r="I53" s="513"/>
      <c r="J53" s="514"/>
      <c r="K53" s="515"/>
      <c r="L53" s="513"/>
      <c r="M53" s="516"/>
    </row>
    <row r="54" spans="1:15" s="4" customFormat="1" ht="12.75" hidden="1" customHeight="1" x14ac:dyDescent="0.2">
      <c r="A54" s="47">
        <f t="shared" si="1"/>
        <v>44</v>
      </c>
      <c r="B54" s="55" t="s">
        <v>123</v>
      </c>
      <c r="C54" s="56" t="s">
        <v>124</v>
      </c>
      <c r="D54" s="114"/>
      <c r="E54" s="114"/>
      <c r="F54" s="508"/>
      <c r="G54" s="513"/>
      <c r="H54" s="513"/>
      <c r="I54" s="513"/>
      <c r="J54" s="514"/>
      <c r="K54" s="515"/>
      <c r="L54" s="513"/>
      <c r="M54" s="516"/>
    </row>
    <row r="55" spans="1:15" s="4" customFormat="1" ht="12.75" hidden="1" customHeight="1" x14ac:dyDescent="0.2">
      <c r="A55" s="172">
        <f t="shared" si="1"/>
        <v>45</v>
      </c>
      <c r="B55" s="55" t="s">
        <v>125</v>
      </c>
      <c r="C55" s="56" t="s">
        <v>126</v>
      </c>
      <c r="D55" s="114"/>
      <c r="E55" s="114"/>
      <c r="F55" s="508"/>
      <c r="G55" s="509"/>
      <c r="H55" s="509"/>
      <c r="I55" s="509"/>
      <c r="J55" s="510"/>
      <c r="K55" s="511"/>
      <c r="L55" s="509"/>
      <c r="M55" s="512"/>
    </row>
    <row r="56" spans="1:15" s="4" customFormat="1" hidden="1" x14ac:dyDescent="0.2">
      <c r="A56" s="47">
        <f t="shared" si="1"/>
        <v>46</v>
      </c>
      <c r="B56" s="55" t="s">
        <v>312</v>
      </c>
      <c r="C56" s="56" t="s">
        <v>128</v>
      </c>
      <c r="D56" s="114"/>
      <c r="E56" s="114"/>
      <c r="F56" s="517">
        <f>G56+H56+I56+J56</f>
        <v>0</v>
      </c>
      <c r="G56" s="513">
        <f>G57</f>
        <v>0</v>
      </c>
      <c r="H56" s="513">
        <f>H57</f>
        <v>0</v>
      </c>
      <c r="I56" s="513">
        <f>I57</f>
        <v>0</v>
      </c>
      <c r="J56" s="514">
        <f>J57</f>
        <v>0</v>
      </c>
      <c r="K56" s="515"/>
      <c r="L56" s="513"/>
      <c r="M56" s="516"/>
    </row>
    <row r="57" spans="1:15" s="4" customFormat="1" ht="15" hidden="1" customHeight="1" x14ac:dyDescent="0.2">
      <c r="A57" s="172">
        <f t="shared" si="1"/>
        <v>47</v>
      </c>
      <c r="B57" s="106" t="s">
        <v>313</v>
      </c>
      <c r="C57" s="81" t="s">
        <v>132</v>
      </c>
      <c r="D57" s="196"/>
      <c r="E57" s="196"/>
      <c r="F57" s="518">
        <f>G57+H57+I57+J57</f>
        <v>0</v>
      </c>
      <c r="G57" s="519">
        <v>0</v>
      </c>
      <c r="H57" s="519">
        <v>0</v>
      </c>
      <c r="I57" s="519">
        <v>0</v>
      </c>
      <c r="J57" s="520">
        <v>0</v>
      </c>
      <c r="K57" s="521"/>
      <c r="L57" s="519"/>
      <c r="M57" s="522"/>
    </row>
    <row r="58" spans="1:15" s="135" customFormat="1" hidden="1" x14ac:dyDescent="0.2">
      <c r="A58" s="47">
        <v>107</v>
      </c>
      <c r="B58" s="179" t="s">
        <v>180</v>
      </c>
      <c r="C58" s="180"/>
      <c r="D58" s="372">
        <f t="shared" ref="D58:J58" si="4">D62+D72</f>
        <v>0</v>
      </c>
      <c r="E58" s="372">
        <f t="shared" si="4"/>
        <v>0</v>
      </c>
      <c r="F58" s="372">
        <f t="shared" si="4"/>
        <v>0</v>
      </c>
      <c r="G58" s="372">
        <f t="shared" si="4"/>
        <v>0</v>
      </c>
      <c r="H58" s="372">
        <f t="shared" si="4"/>
        <v>0</v>
      </c>
      <c r="I58" s="372">
        <f t="shared" si="4"/>
        <v>0</v>
      </c>
      <c r="J58" s="372">
        <f t="shared" si="4"/>
        <v>0</v>
      </c>
      <c r="K58" s="389">
        <f>K59</f>
        <v>0</v>
      </c>
      <c r="L58" s="389">
        <f>L59</f>
        <v>0</v>
      </c>
      <c r="M58" s="389">
        <f>M59</f>
        <v>0</v>
      </c>
    </row>
    <row r="59" spans="1:15" s="613" customFormat="1" ht="12.75" hidden="1" customHeight="1" x14ac:dyDescent="0.2">
      <c r="A59" s="607">
        <v>121</v>
      </c>
      <c r="B59" s="608" t="s">
        <v>206</v>
      </c>
      <c r="C59" s="609" t="s">
        <v>207</v>
      </c>
      <c r="D59" s="610">
        <f t="shared" ref="D59:M61" si="5">D60</f>
        <v>0</v>
      </c>
      <c r="E59" s="611">
        <f t="shared" si="5"/>
        <v>0</v>
      </c>
      <c r="F59" s="611">
        <f t="shared" si="5"/>
        <v>0</v>
      </c>
      <c r="G59" s="611">
        <f t="shared" si="5"/>
        <v>0</v>
      </c>
      <c r="H59" s="611">
        <f t="shared" si="5"/>
        <v>0</v>
      </c>
      <c r="I59" s="611">
        <f t="shared" si="5"/>
        <v>0</v>
      </c>
      <c r="J59" s="611">
        <f t="shared" si="5"/>
        <v>0</v>
      </c>
      <c r="K59" s="611">
        <f t="shared" si="5"/>
        <v>0</v>
      </c>
      <c r="L59" s="611">
        <f t="shared" si="5"/>
        <v>0</v>
      </c>
      <c r="M59" s="611">
        <f t="shared" si="5"/>
        <v>0</v>
      </c>
    </row>
    <row r="60" spans="1:15" s="4" customFormat="1" ht="12.75" hidden="1" customHeight="1" x14ac:dyDescent="0.2">
      <c r="A60" s="47">
        <v>122</v>
      </c>
      <c r="B60" s="55" t="s">
        <v>208</v>
      </c>
      <c r="C60" s="75">
        <v>71</v>
      </c>
      <c r="D60" s="44">
        <f t="shared" si="5"/>
        <v>0</v>
      </c>
      <c r="E60" s="365">
        <f t="shared" si="5"/>
        <v>0</v>
      </c>
      <c r="F60" s="365">
        <f t="shared" si="5"/>
        <v>0</v>
      </c>
      <c r="G60" s="365">
        <f t="shared" si="5"/>
        <v>0</v>
      </c>
      <c r="H60" s="365">
        <f t="shared" si="5"/>
        <v>0</v>
      </c>
      <c r="I60" s="365">
        <f t="shared" si="5"/>
        <v>0</v>
      </c>
      <c r="J60" s="365">
        <f t="shared" si="5"/>
        <v>0</v>
      </c>
      <c r="K60" s="365">
        <f t="shared" si="5"/>
        <v>0</v>
      </c>
      <c r="L60" s="365">
        <f t="shared" si="5"/>
        <v>0</v>
      </c>
      <c r="M60" s="365">
        <f t="shared" si="5"/>
        <v>0</v>
      </c>
    </row>
    <row r="61" spans="1:15" s="4" customFormat="1" ht="12.75" hidden="1" customHeight="1" x14ac:dyDescent="0.2">
      <c r="A61" s="47">
        <v>123</v>
      </c>
      <c r="B61" s="55" t="s">
        <v>209</v>
      </c>
      <c r="C61" s="75" t="s">
        <v>210</v>
      </c>
      <c r="D61" s="365">
        <f t="shared" si="5"/>
        <v>0</v>
      </c>
      <c r="E61" s="365">
        <f t="shared" si="5"/>
        <v>0</v>
      </c>
      <c r="F61" s="365">
        <f>F62</f>
        <v>0</v>
      </c>
      <c r="G61" s="365">
        <f t="shared" si="5"/>
        <v>0</v>
      </c>
      <c r="H61" s="365">
        <f t="shared" si="5"/>
        <v>0</v>
      </c>
      <c r="I61" s="365">
        <f t="shared" si="5"/>
        <v>0</v>
      </c>
      <c r="J61" s="365">
        <f t="shared" si="5"/>
        <v>0</v>
      </c>
      <c r="K61" s="57">
        <v>0</v>
      </c>
      <c r="L61" s="43">
        <v>0</v>
      </c>
      <c r="M61" s="248">
        <v>0</v>
      </c>
    </row>
    <row r="62" spans="1:15" s="4" customFormat="1" hidden="1" x14ac:dyDescent="0.2">
      <c r="A62" s="47">
        <v>125</v>
      </c>
      <c r="B62" s="74" t="s">
        <v>213</v>
      </c>
      <c r="C62" s="142" t="s">
        <v>214</v>
      </c>
      <c r="D62" s="42">
        <v>0</v>
      </c>
      <c r="E62" s="392">
        <v>0</v>
      </c>
      <c r="F62" s="391">
        <f>G62+H62+I62+J62</f>
        <v>0</v>
      </c>
      <c r="G62" s="391">
        <v>0</v>
      </c>
      <c r="H62" s="391">
        <v>0</v>
      </c>
      <c r="I62" s="391">
        <v>0</v>
      </c>
      <c r="J62" s="391">
        <v>0</v>
      </c>
      <c r="K62" s="371"/>
      <c r="L62" s="43"/>
      <c r="M62" s="248"/>
    </row>
    <row r="63" spans="1:15" s="4" customFormat="1" x14ac:dyDescent="0.2">
      <c r="B63" s="151" t="s">
        <v>220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15" s="4" customFormat="1" ht="12.75" customHeight="1" x14ac:dyDescent="0.2">
      <c r="B64" s="151" t="s">
        <v>221</v>
      </c>
      <c r="C64" s="1107" t="s">
        <v>222</v>
      </c>
      <c r="D64" s="1107"/>
      <c r="E64" s="1107"/>
      <c r="F64" s="1107"/>
      <c r="G64" s="152" t="s">
        <v>223</v>
      </c>
      <c r="I64" s="154"/>
      <c r="J64" s="154"/>
      <c r="K64" s="152" t="s">
        <v>224</v>
      </c>
      <c r="O64" s="6"/>
    </row>
    <row r="65" spans="2:15" s="4" customFormat="1" ht="12.75" customHeight="1" x14ac:dyDescent="0.2">
      <c r="B65" s="155" t="s">
        <v>225</v>
      </c>
      <c r="C65" s="1108" t="s">
        <v>392</v>
      </c>
      <c r="D65" s="1108"/>
      <c r="E65" s="1108"/>
      <c r="F65" s="1108"/>
      <c r="G65" s="152" t="s">
        <v>227</v>
      </c>
      <c r="I65" s="156"/>
      <c r="J65" s="156"/>
      <c r="K65" s="1132" t="s">
        <v>228</v>
      </c>
      <c r="L65" s="1132"/>
      <c r="M65" s="1132"/>
      <c r="N65" s="1132"/>
      <c r="O65" s="6"/>
    </row>
    <row r="66" spans="2:15" ht="12.75" customHeight="1" x14ac:dyDescent="0.2">
      <c r="J66" s="305"/>
      <c r="K66" s="152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A9:A10"/>
    <mergeCell ref="B9:B10"/>
    <mergeCell ref="C9:C10"/>
    <mergeCell ref="D9:D10"/>
    <mergeCell ref="E9:E10"/>
    <mergeCell ref="F9:F10"/>
    <mergeCell ref="G9:J9"/>
    <mergeCell ref="K9:M9"/>
    <mergeCell ref="K65:N65"/>
    <mergeCell ref="J1:L1"/>
    <mergeCell ref="B4:M4"/>
    <mergeCell ref="B6:F6"/>
    <mergeCell ref="C7:F7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2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FAD3-5F7D-4997-B91E-B9D22290DE6B}">
  <dimension ref="A1:O97"/>
  <sheetViews>
    <sheetView topLeftCell="A22" workbookViewId="0">
      <selection activeCell="B67" sqref="B67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9.28515625" style="1" customWidth="1"/>
    <col min="4" max="4" width="11.1406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9"/>
      <c r="K1" s="1119"/>
      <c r="L1" s="1119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18" t="s">
        <v>332</v>
      </c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245"/>
    </row>
    <row r="5" spans="1:14" ht="12.75" customHeight="1" x14ac:dyDescent="0.2">
      <c r="B5" s="1"/>
      <c r="C5" s="49" t="s">
        <v>327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2.75" customHeight="1" x14ac:dyDescent="0.2">
      <c r="B6" s="1202" t="s">
        <v>328</v>
      </c>
      <c r="C6" s="1202"/>
      <c r="D6" s="1202"/>
      <c r="E6" s="1202"/>
      <c r="F6" s="1202"/>
      <c r="G6" s="1202"/>
      <c r="H6" s="586"/>
      <c r="I6" s="586"/>
      <c r="J6" s="586"/>
      <c r="K6" s="586"/>
      <c r="L6" s="586"/>
      <c r="M6" s="586"/>
      <c r="N6" s="468"/>
    </row>
    <row r="7" spans="1:14" hidden="1" x14ac:dyDescent="0.2">
      <c r="B7" s="543"/>
      <c r="C7" s="1196"/>
      <c r="D7" s="1196"/>
      <c r="E7" s="1196"/>
      <c r="F7" s="1196"/>
      <c r="G7" s="544"/>
      <c r="H7" s="544"/>
      <c r="I7" s="544"/>
      <c r="J7" s="544"/>
      <c r="K7" s="544"/>
      <c r="L7" s="545"/>
      <c r="M7" s="468"/>
      <c r="N7" s="468"/>
    </row>
    <row r="8" spans="1:14" ht="13.5" thickBot="1" x14ac:dyDescent="0.25"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87" t="s">
        <v>5</v>
      </c>
    </row>
    <row r="9" spans="1:14" s="4" customFormat="1" ht="12.75" customHeight="1" thickBot="1" x14ac:dyDescent="0.25">
      <c r="A9" s="1134" t="s">
        <v>6</v>
      </c>
      <c r="B9" s="1136" t="s">
        <v>7</v>
      </c>
      <c r="C9" s="1170" t="s">
        <v>8</v>
      </c>
      <c r="D9" s="1197" t="s">
        <v>379</v>
      </c>
      <c r="E9" s="1170"/>
      <c r="F9" s="1203" t="s">
        <v>380</v>
      </c>
      <c r="G9" s="1168" t="s">
        <v>12</v>
      </c>
      <c r="H9" s="1168"/>
      <c r="I9" s="1168"/>
      <c r="J9" s="1168"/>
      <c r="K9" s="1130" t="s">
        <v>13</v>
      </c>
      <c r="L9" s="1130"/>
      <c r="M9" s="1131"/>
    </row>
    <row r="10" spans="1:14" s="4" customFormat="1" ht="42.75" customHeight="1" thickBot="1" x14ac:dyDescent="0.25">
      <c r="A10" s="1135"/>
      <c r="B10" s="1137"/>
      <c r="C10" s="1171"/>
      <c r="D10" s="1198"/>
      <c r="E10" s="1171"/>
      <c r="F10" s="1204"/>
      <c r="G10" s="970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547" t="s">
        <v>19</v>
      </c>
      <c r="C11" s="548"/>
      <c r="D11" s="549">
        <f>D12</f>
        <v>0</v>
      </c>
      <c r="E11" s="588">
        <f>E12</f>
        <v>0</v>
      </c>
      <c r="F11" s="551">
        <f>G11+H11+I11+J11</f>
        <v>0</v>
      </c>
      <c r="G11" s="547">
        <f t="shared" ref="G11:M12" si="0">G12</f>
        <v>0</v>
      </c>
      <c r="H11" s="552">
        <f t="shared" si="0"/>
        <v>0</v>
      </c>
      <c r="I11" s="552">
        <f t="shared" si="0"/>
        <v>0</v>
      </c>
      <c r="J11" s="552">
        <f t="shared" si="0"/>
        <v>0</v>
      </c>
      <c r="K11" s="553">
        <f t="shared" si="0"/>
        <v>0</v>
      </c>
      <c r="L11" s="547">
        <f t="shared" si="0"/>
        <v>0</v>
      </c>
      <c r="M11" s="916">
        <f t="shared" si="0"/>
        <v>0</v>
      </c>
    </row>
    <row r="12" spans="1:14" s="4" customFormat="1" ht="12.75" customHeight="1" x14ac:dyDescent="0.2">
      <c r="A12" s="917">
        <f t="shared" ref="A12:A57" si="1">A11+1</f>
        <v>2</v>
      </c>
      <c r="B12" s="179" t="s">
        <v>20</v>
      </c>
      <c r="C12" s="181"/>
      <c r="D12" s="389">
        <f>D13</f>
        <v>0</v>
      </c>
      <c r="E12" s="589">
        <f>E13</f>
        <v>0</v>
      </c>
      <c r="F12" s="555">
        <f>G12+H12+I12+J12</f>
        <v>0</v>
      </c>
      <c r="G12" s="556">
        <f t="shared" si="0"/>
        <v>0</v>
      </c>
      <c r="H12" s="557">
        <f t="shared" si="0"/>
        <v>0</v>
      </c>
      <c r="I12" s="557">
        <f t="shared" si="0"/>
        <v>0</v>
      </c>
      <c r="J12" s="388">
        <f t="shared" si="0"/>
        <v>0</v>
      </c>
      <c r="K12" s="558">
        <f t="shared" si="0"/>
        <v>0</v>
      </c>
      <c r="L12" s="556">
        <f t="shared" si="0"/>
        <v>0</v>
      </c>
      <c r="M12" s="690">
        <f t="shared" si="0"/>
        <v>0</v>
      </c>
    </row>
    <row r="13" spans="1:14" s="4" customFormat="1" x14ac:dyDescent="0.2">
      <c r="A13" s="689">
        <f t="shared" si="1"/>
        <v>3</v>
      </c>
      <c r="B13" s="157" t="s">
        <v>21</v>
      </c>
      <c r="C13" s="559" t="s">
        <v>22</v>
      </c>
      <c r="D13" s="590">
        <f t="shared" ref="D13:M13" si="2">D14+D28</f>
        <v>0</v>
      </c>
      <c r="E13" s="591">
        <f t="shared" si="2"/>
        <v>0</v>
      </c>
      <c r="F13" s="529">
        <f t="shared" si="2"/>
        <v>0</v>
      </c>
      <c r="G13" s="79">
        <f t="shared" si="2"/>
        <v>0</v>
      </c>
      <c r="H13" s="43">
        <f t="shared" si="2"/>
        <v>0</v>
      </c>
      <c r="I13" s="43">
        <f t="shared" si="2"/>
        <v>0</v>
      </c>
      <c r="J13" s="43">
        <f t="shared" si="2"/>
        <v>0</v>
      </c>
      <c r="K13" s="371">
        <f t="shared" si="2"/>
        <v>0</v>
      </c>
      <c r="L13" s="562">
        <f t="shared" si="2"/>
        <v>0</v>
      </c>
      <c r="M13" s="771">
        <f t="shared" si="2"/>
        <v>0</v>
      </c>
    </row>
    <row r="14" spans="1:14" s="4" customFormat="1" ht="25.5" x14ac:dyDescent="0.2">
      <c r="A14" s="702">
        <f t="shared" si="1"/>
        <v>4</v>
      </c>
      <c r="B14" s="563" t="s">
        <v>318</v>
      </c>
      <c r="C14" s="564" t="s">
        <v>24</v>
      </c>
      <c r="D14" s="592">
        <f>D15+D26+D24</f>
        <v>0</v>
      </c>
      <c r="E14" s="592">
        <f>E15+E26+E24</f>
        <v>0</v>
      </c>
      <c r="F14" s="529">
        <f>F15+F24+F27</f>
        <v>0</v>
      </c>
      <c r="G14" s="79">
        <f>G15+G24+G27</f>
        <v>0</v>
      </c>
      <c r="H14" s="43">
        <f>H15+H24+H27</f>
        <v>0</v>
      </c>
      <c r="I14" s="43">
        <f>I15+I24+I27</f>
        <v>0</v>
      </c>
      <c r="J14" s="43">
        <f>J15+J24+J27</f>
        <v>0</v>
      </c>
      <c r="K14" s="565">
        <f>F14*101.2%</f>
        <v>0</v>
      </c>
      <c r="L14" s="536">
        <f>F14*101.5%</f>
        <v>0</v>
      </c>
      <c r="M14" s="918">
        <f>F14*101.8%</f>
        <v>0</v>
      </c>
    </row>
    <row r="15" spans="1:14" s="4" customFormat="1" x14ac:dyDescent="0.2">
      <c r="A15" s="689">
        <f t="shared" si="1"/>
        <v>5</v>
      </c>
      <c r="B15" s="55" t="s">
        <v>25</v>
      </c>
      <c r="C15" s="564" t="s">
        <v>26</v>
      </c>
      <c r="D15" s="593">
        <f>D16+D17+D18+D21+D22+D23</f>
        <v>0</v>
      </c>
      <c r="E15" s="592">
        <f>E16+E17+E18+E21+E22</f>
        <v>0</v>
      </c>
      <c r="F15" s="529">
        <f>F16+F17+F18+F20+F21+F22</f>
        <v>0</v>
      </c>
      <c r="G15" s="79">
        <f>G16+G17+G18+G21+G22</f>
        <v>0</v>
      </c>
      <c r="H15" s="43">
        <f>H16+H17+H18+H20+H21+H22</f>
        <v>0</v>
      </c>
      <c r="I15" s="43">
        <f>I16+I17+I18+I20+I21+I22</f>
        <v>0</v>
      </c>
      <c r="J15" s="43">
        <f>J16+J17+J18+J20+J21+J22</f>
        <v>0</v>
      </c>
      <c r="K15" s="565"/>
      <c r="L15" s="537"/>
      <c r="M15" s="745"/>
    </row>
    <row r="16" spans="1:14" s="4" customFormat="1" x14ac:dyDescent="0.2">
      <c r="A16" s="702">
        <f t="shared" si="1"/>
        <v>6</v>
      </c>
      <c r="B16" s="40" t="s">
        <v>27</v>
      </c>
      <c r="C16" s="190" t="s">
        <v>28</v>
      </c>
      <c r="D16" s="594">
        <v>0</v>
      </c>
      <c r="E16" s="595"/>
      <c r="F16" s="383">
        <f>G16+H16+I16+J16</f>
        <v>0</v>
      </c>
      <c r="G16" s="531">
        <v>0</v>
      </c>
      <c r="H16" s="531">
        <v>0</v>
      </c>
      <c r="I16" s="531">
        <v>0</v>
      </c>
      <c r="J16" s="531">
        <v>0</v>
      </c>
      <c r="K16" s="568"/>
      <c r="L16" s="532"/>
      <c r="M16" s="743"/>
    </row>
    <row r="17" spans="1:13" s="4" customFormat="1" x14ac:dyDescent="0.2">
      <c r="A17" s="689">
        <f t="shared" si="1"/>
        <v>7</v>
      </c>
      <c r="B17" s="40" t="s">
        <v>29</v>
      </c>
      <c r="C17" s="190" t="s">
        <v>30</v>
      </c>
      <c r="D17" s="594">
        <v>0</v>
      </c>
      <c r="E17" s="595"/>
      <c r="F17" s="383">
        <f>G17+H17+I17+J17</f>
        <v>0</v>
      </c>
      <c r="G17" s="531">
        <v>0</v>
      </c>
      <c r="H17" s="531">
        <v>0</v>
      </c>
      <c r="I17" s="531">
        <v>0</v>
      </c>
      <c r="J17" s="531">
        <v>0</v>
      </c>
      <c r="K17" s="568"/>
      <c r="L17" s="532"/>
      <c r="M17" s="743"/>
    </row>
    <row r="18" spans="1:13" s="4" customFormat="1" x14ac:dyDescent="0.2">
      <c r="A18" s="702">
        <f t="shared" si="1"/>
        <v>8</v>
      </c>
      <c r="B18" s="40" t="s">
        <v>31</v>
      </c>
      <c r="C18" s="190" t="s">
        <v>32</v>
      </c>
      <c r="D18" s="594">
        <v>0</v>
      </c>
      <c r="E18" s="595"/>
      <c r="F18" s="383">
        <f>G18+H18+I18+J18</f>
        <v>0</v>
      </c>
      <c r="G18" s="531">
        <v>0</v>
      </c>
      <c r="H18" s="531">
        <v>0</v>
      </c>
      <c r="I18" s="531">
        <v>0</v>
      </c>
      <c r="J18" s="531">
        <v>0</v>
      </c>
      <c r="K18" s="568"/>
      <c r="L18" s="532"/>
      <c r="M18" s="743"/>
    </row>
    <row r="19" spans="1:13" s="4" customFormat="1" hidden="1" x14ac:dyDescent="0.2">
      <c r="A19" s="689">
        <f t="shared" si="1"/>
        <v>9</v>
      </c>
      <c r="B19" s="320" t="s">
        <v>305</v>
      </c>
      <c r="C19" s="7" t="s">
        <v>34</v>
      </c>
      <c r="D19" s="594"/>
      <c r="E19" s="595"/>
      <c r="F19" s="383"/>
      <c r="G19" s="531"/>
      <c r="H19" s="531">
        <v>0</v>
      </c>
      <c r="I19" s="531">
        <v>0</v>
      </c>
      <c r="J19" s="531">
        <v>0</v>
      </c>
      <c r="K19" s="568"/>
      <c r="L19" s="532"/>
      <c r="M19" s="743"/>
    </row>
    <row r="20" spans="1:13" s="4" customFormat="1" hidden="1" x14ac:dyDescent="0.2">
      <c r="A20" s="702">
        <f t="shared" si="1"/>
        <v>10</v>
      </c>
      <c r="B20" s="40" t="s">
        <v>321</v>
      </c>
      <c r="C20" s="190" t="s">
        <v>36</v>
      </c>
      <c r="D20" s="594">
        <v>0</v>
      </c>
      <c r="E20" s="595"/>
      <c r="F20" s="383">
        <f>G20+H20+I20+J20</f>
        <v>0</v>
      </c>
      <c r="G20" s="531">
        <v>0</v>
      </c>
      <c r="H20" s="531">
        <v>0</v>
      </c>
      <c r="I20" s="531">
        <v>0</v>
      </c>
      <c r="J20" s="531">
        <v>0</v>
      </c>
      <c r="K20" s="568"/>
      <c r="L20" s="532"/>
      <c r="M20" s="743"/>
    </row>
    <row r="21" spans="1:13" s="4" customFormat="1" hidden="1" x14ac:dyDescent="0.2">
      <c r="A21" s="689">
        <f t="shared" si="1"/>
        <v>11</v>
      </c>
      <c r="B21" s="40" t="s">
        <v>329</v>
      </c>
      <c r="C21" s="190" t="s">
        <v>307</v>
      </c>
      <c r="D21" s="594">
        <v>0</v>
      </c>
      <c r="E21" s="595"/>
      <c r="F21" s="383">
        <f>G21+H21+I21+J21</f>
        <v>0</v>
      </c>
      <c r="G21" s="531"/>
      <c r="H21" s="531">
        <v>0</v>
      </c>
      <c r="I21" s="531">
        <v>0</v>
      </c>
      <c r="J21" s="531">
        <v>0</v>
      </c>
      <c r="K21" s="568"/>
      <c r="L21" s="532"/>
      <c r="M21" s="743"/>
    </row>
    <row r="22" spans="1:13" s="4" customFormat="1" x14ac:dyDescent="0.2">
      <c r="A22" s="702">
        <f t="shared" si="1"/>
        <v>12</v>
      </c>
      <c r="B22" s="40" t="s">
        <v>326</v>
      </c>
      <c r="C22" s="190" t="s">
        <v>38</v>
      </c>
      <c r="D22" s="594">
        <v>0</v>
      </c>
      <c r="E22" s="595"/>
      <c r="F22" s="383">
        <f>G22+H22+I22+J22</f>
        <v>0</v>
      </c>
      <c r="G22" s="531">
        <v>0</v>
      </c>
      <c r="H22" s="531">
        <v>0</v>
      </c>
      <c r="I22" s="531">
        <v>0</v>
      </c>
      <c r="J22" s="531">
        <v>0</v>
      </c>
      <c r="K22" s="568"/>
      <c r="L22" s="532"/>
      <c r="M22" s="743"/>
    </row>
    <row r="23" spans="1:13" s="4" customFormat="1" hidden="1" x14ac:dyDescent="0.2">
      <c r="A23" s="689">
        <f t="shared" si="1"/>
        <v>13</v>
      </c>
      <c r="B23" s="183" t="s">
        <v>39</v>
      </c>
      <c r="C23" s="452" t="s">
        <v>40</v>
      </c>
      <c r="D23" s="596"/>
      <c r="E23" s="595"/>
      <c r="F23" s="383"/>
      <c r="G23" s="531"/>
      <c r="H23" s="532"/>
      <c r="I23" s="532"/>
      <c r="J23" s="533"/>
      <c r="K23" s="568"/>
      <c r="L23" s="532"/>
      <c r="M23" s="743"/>
    </row>
    <row r="24" spans="1:13" s="4" customFormat="1" x14ac:dyDescent="0.2">
      <c r="A24" s="702">
        <f t="shared" si="1"/>
        <v>14</v>
      </c>
      <c r="B24" s="597" t="s">
        <v>322</v>
      </c>
      <c r="C24" s="573" t="s">
        <v>42</v>
      </c>
      <c r="D24" s="598">
        <f>D25</f>
        <v>0</v>
      </c>
      <c r="E24" s="591">
        <f>E25</f>
        <v>0</v>
      </c>
      <c r="F24" s="383">
        <f>G24+H24+I24+J24</f>
        <v>0</v>
      </c>
      <c r="G24" s="531">
        <f>G25</f>
        <v>0</v>
      </c>
      <c r="H24" s="531">
        <f>H25</f>
        <v>0</v>
      </c>
      <c r="I24" s="531">
        <f>I25</f>
        <v>0</v>
      </c>
      <c r="J24" s="531">
        <f>J25</f>
        <v>0</v>
      </c>
      <c r="K24" s="568"/>
      <c r="L24" s="532"/>
      <c r="M24" s="743"/>
    </row>
    <row r="25" spans="1:13" s="4" customFormat="1" x14ac:dyDescent="0.2">
      <c r="A25" s="689">
        <f t="shared" si="1"/>
        <v>15</v>
      </c>
      <c r="B25" s="40" t="s">
        <v>43</v>
      </c>
      <c r="C25" s="190" t="s">
        <v>44</v>
      </c>
      <c r="D25" s="594">
        <v>0</v>
      </c>
      <c r="E25" s="595"/>
      <c r="F25" s="383">
        <f>G25+H25+I25+J25</f>
        <v>0</v>
      </c>
      <c r="G25" s="531">
        <v>0</v>
      </c>
      <c r="H25" s="531">
        <v>0</v>
      </c>
      <c r="I25" s="531">
        <v>0</v>
      </c>
      <c r="J25" s="531">
        <v>0</v>
      </c>
      <c r="K25" s="568"/>
      <c r="L25" s="532"/>
      <c r="M25" s="743"/>
    </row>
    <row r="26" spans="1:13" s="4" customFormat="1" x14ac:dyDescent="0.2">
      <c r="A26" s="702">
        <f t="shared" si="1"/>
        <v>16</v>
      </c>
      <c r="B26" s="55" t="s">
        <v>45</v>
      </c>
      <c r="C26" s="263" t="s">
        <v>46</v>
      </c>
      <c r="D26" s="560">
        <f>D27</f>
        <v>0</v>
      </c>
      <c r="E26" s="599">
        <f>E27</f>
        <v>0</v>
      </c>
      <c r="F26" s="529">
        <f>G26+H26+I26+J26</f>
        <v>0</v>
      </c>
      <c r="G26" s="536">
        <f>G27</f>
        <v>0</v>
      </c>
      <c r="H26" s="537">
        <f>H27</f>
        <v>0</v>
      </c>
      <c r="I26" s="537">
        <f>I27</f>
        <v>0</v>
      </c>
      <c r="J26" s="537">
        <f>J27</f>
        <v>0</v>
      </c>
      <c r="K26" s="565"/>
      <c r="L26" s="537"/>
      <c r="M26" s="745"/>
    </row>
    <row r="27" spans="1:13" s="4" customFormat="1" x14ac:dyDescent="0.2">
      <c r="A27" s="689">
        <f t="shared" si="1"/>
        <v>17</v>
      </c>
      <c r="B27" s="59" t="s">
        <v>330</v>
      </c>
      <c r="C27" s="117" t="s">
        <v>58</v>
      </c>
      <c r="D27" s="600">
        <v>0</v>
      </c>
      <c r="E27" s="595"/>
      <c r="F27" s="383">
        <f>G27+H27+I27+J27</f>
        <v>0</v>
      </c>
      <c r="G27" s="531">
        <v>0</v>
      </c>
      <c r="H27" s="531">
        <v>0</v>
      </c>
      <c r="I27" s="531">
        <v>0</v>
      </c>
      <c r="J27" s="531">
        <v>0</v>
      </c>
      <c r="K27" s="568"/>
      <c r="L27" s="532"/>
      <c r="M27" s="743"/>
    </row>
    <row r="28" spans="1:13" s="4" customFormat="1" ht="25.5" hidden="1" x14ac:dyDescent="0.2">
      <c r="A28" s="702">
        <f t="shared" si="1"/>
        <v>18</v>
      </c>
      <c r="B28" s="169" t="s">
        <v>61</v>
      </c>
      <c r="C28" s="601">
        <v>20</v>
      </c>
      <c r="D28" s="602">
        <f>D41</f>
        <v>0</v>
      </c>
      <c r="E28" s="603">
        <f>E41+E29+E39+E40+E57</f>
        <v>0</v>
      </c>
      <c r="F28" s="529">
        <f>G28+H28+I28+J28</f>
        <v>0</v>
      </c>
      <c r="G28" s="536">
        <f>G29+G39+G40+G41+G45+G49+G52+G53+G54+G56</f>
        <v>0</v>
      </c>
      <c r="H28" s="537">
        <f>H29+H39+H40+H41+H45+H49+H52+H53+H54+H56</f>
        <v>0</v>
      </c>
      <c r="I28" s="537">
        <f>I29+I39+I40+I41+I45+I49+I52+I53+I54+I56</f>
        <v>0</v>
      </c>
      <c r="J28" s="538">
        <f>J29+J39+J40+J41+J45+J49+J52+J53+J54+J56</f>
        <v>0</v>
      </c>
      <c r="K28" s="565"/>
      <c r="L28" s="537"/>
      <c r="M28" s="745"/>
    </row>
    <row r="29" spans="1:13" s="4" customFormat="1" ht="12.75" hidden="1" customHeight="1" x14ac:dyDescent="0.2">
      <c r="A29" s="689">
        <f t="shared" si="1"/>
        <v>19</v>
      </c>
      <c r="B29" s="160" t="s">
        <v>62</v>
      </c>
      <c r="C29" s="189" t="s">
        <v>63</v>
      </c>
      <c r="D29" s="590">
        <f t="shared" ref="D29:J29" si="3">D30+D31+D32+D33+D34+D35+D36+D37+D38</f>
        <v>0</v>
      </c>
      <c r="E29" s="590">
        <f>E30+E31+E32+E33+E34+E35+E36+E37+E38</f>
        <v>0</v>
      </c>
      <c r="F29" s="590">
        <f t="shared" si="3"/>
        <v>0</v>
      </c>
      <c r="G29" s="536">
        <f t="shared" si="3"/>
        <v>0</v>
      </c>
      <c r="H29" s="537">
        <f t="shared" si="3"/>
        <v>0</v>
      </c>
      <c r="I29" s="537">
        <f t="shared" si="3"/>
        <v>0</v>
      </c>
      <c r="J29" s="538">
        <f t="shared" si="3"/>
        <v>0</v>
      </c>
      <c r="K29" s="565"/>
      <c r="L29" s="537"/>
      <c r="M29" s="745"/>
    </row>
    <row r="30" spans="1:13" s="4" customFormat="1" ht="12.75" hidden="1" customHeight="1" x14ac:dyDescent="0.2">
      <c r="A30" s="702">
        <f t="shared" si="1"/>
        <v>20</v>
      </c>
      <c r="B30" s="59" t="s">
        <v>64</v>
      </c>
      <c r="C30" s="190" t="s">
        <v>65</v>
      </c>
      <c r="D30" s="594">
        <v>0</v>
      </c>
      <c r="E30" s="590">
        <f t="shared" ref="E30:E57" si="4">E31+E32+E33+E34+E35+E36+E37+E38+E39</f>
        <v>0</v>
      </c>
      <c r="F30" s="383"/>
      <c r="G30" s="531"/>
      <c r="H30" s="532"/>
      <c r="I30" s="532"/>
      <c r="J30" s="533"/>
      <c r="K30" s="568"/>
      <c r="L30" s="532"/>
      <c r="M30" s="743"/>
    </row>
    <row r="31" spans="1:13" s="4" customFormat="1" ht="12.75" hidden="1" customHeight="1" x14ac:dyDescent="0.2">
      <c r="A31" s="689">
        <f t="shared" si="1"/>
        <v>21</v>
      </c>
      <c r="B31" s="59" t="s">
        <v>68</v>
      </c>
      <c r="C31" s="190" t="s">
        <v>69</v>
      </c>
      <c r="D31" s="594">
        <v>0</v>
      </c>
      <c r="E31" s="590">
        <f t="shared" si="4"/>
        <v>0</v>
      </c>
      <c r="F31" s="383"/>
      <c r="G31" s="531"/>
      <c r="H31" s="532"/>
      <c r="I31" s="532"/>
      <c r="J31" s="533"/>
      <c r="K31" s="568"/>
      <c r="L31" s="532"/>
      <c r="M31" s="743"/>
    </row>
    <row r="32" spans="1:13" s="4" customFormat="1" ht="12.75" hidden="1" customHeight="1" x14ac:dyDescent="0.2">
      <c r="A32" s="702">
        <f t="shared" si="1"/>
        <v>22</v>
      </c>
      <c r="B32" s="59" t="s">
        <v>72</v>
      </c>
      <c r="C32" s="190" t="s">
        <v>73</v>
      </c>
      <c r="D32" s="594">
        <v>0</v>
      </c>
      <c r="E32" s="590">
        <f t="shared" si="4"/>
        <v>0</v>
      </c>
      <c r="F32" s="383">
        <f t="shared" ref="F32:F38" si="5">G32+H32+I32+J32</f>
        <v>0</v>
      </c>
      <c r="G32" s="531">
        <v>0</v>
      </c>
      <c r="H32" s="531">
        <v>0</v>
      </c>
      <c r="I32" s="531">
        <v>0</v>
      </c>
      <c r="J32" s="531">
        <v>0</v>
      </c>
      <c r="K32" s="568"/>
      <c r="L32" s="532"/>
      <c r="M32" s="743"/>
    </row>
    <row r="33" spans="1:13" s="4" customFormat="1" ht="12.75" hidden="1" customHeight="1" x14ac:dyDescent="0.2">
      <c r="A33" s="689">
        <f t="shared" si="1"/>
        <v>23</v>
      </c>
      <c r="B33" s="59" t="s">
        <v>74</v>
      </c>
      <c r="C33" s="190" t="s">
        <v>75</v>
      </c>
      <c r="D33" s="594">
        <v>0</v>
      </c>
      <c r="E33" s="590">
        <f t="shared" si="4"/>
        <v>0</v>
      </c>
      <c r="F33" s="383">
        <f t="shared" si="5"/>
        <v>0</v>
      </c>
      <c r="G33" s="531">
        <v>0</v>
      </c>
      <c r="H33" s="531">
        <v>0</v>
      </c>
      <c r="I33" s="531">
        <v>0</v>
      </c>
      <c r="J33" s="531">
        <v>0</v>
      </c>
      <c r="K33" s="568"/>
      <c r="L33" s="532"/>
      <c r="M33" s="743"/>
    </row>
    <row r="34" spans="1:13" s="4" customFormat="1" ht="12.75" hidden="1" customHeight="1" x14ac:dyDescent="0.2">
      <c r="A34" s="702">
        <f t="shared" si="1"/>
        <v>24</v>
      </c>
      <c r="B34" s="59" t="s">
        <v>76</v>
      </c>
      <c r="C34" s="190" t="s">
        <v>77</v>
      </c>
      <c r="D34" s="594">
        <v>0</v>
      </c>
      <c r="E34" s="590">
        <f t="shared" si="4"/>
        <v>0</v>
      </c>
      <c r="F34" s="383">
        <f t="shared" si="5"/>
        <v>0</v>
      </c>
      <c r="G34" s="531"/>
      <c r="H34" s="531">
        <v>0</v>
      </c>
      <c r="I34" s="531">
        <v>0</v>
      </c>
      <c r="J34" s="531">
        <v>0</v>
      </c>
      <c r="K34" s="568"/>
      <c r="L34" s="532"/>
      <c r="M34" s="743"/>
    </row>
    <row r="35" spans="1:13" s="4" customFormat="1" ht="12.75" hidden="1" customHeight="1" x14ac:dyDescent="0.2">
      <c r="A35" s="689">
        <f t="shared" si="1"/>
        <v>25</v>
      </c>
      <c r="B35" s="59" t="s">
        <v>78</v>
      </c>
      <c r="C35" s="190" t="s">
        <v>79</v>
      </c>
      <c r="D35" s="594">
        <v>0</v>
      </c>
      <c r="E35" s="590">
        <f t="shared" si="4"/>
        <v>0</v>
      </c>
      <c r="F35" s="383">
        <f t="shared" si="5"/>
        <v>0</v>
      </c>
      <c r="G35" s="531"/>
      <c r="H35" s="531">
        <v>0</v>
      </c>
      <c r="I35" s="531">
        <v>0</v>
      </c>
      <c r="J35" s="531">
        <v>0</v>
      </c>
      <c r="K35" s="568"/>
      <c r="L35" s="532"/>
      <c r="M35" s="743"/>
    </row>
    <row r="36" spans="1:13" s="4" customFormat="1" ht="12.75" hidden="1" customHeight="1" x14ac:dyDescent="0.2">
      <c r="A36" s="702">
        <f t="shared" si="1"/>
        <v>26</v>
      </c>
      <c r="B36" s="59" t="s">
        <v>80</v>
      </c>
      <c r="C36" s="190" t="s">
        <v>81</v>
      </c>
      <c r="D36" s="594">
        <v>0</v>
      </c>
      <c r="E36" s="590">
        <f t="shared" si="4"/>
        <v>0</v>
      </c>
      <c r="F36" s="383">
        <f t="shared" si="5"/>
        <v>0</v>
      </c>
      <c r="G36" s="531">
        <v>0</v>
      </c>
      <c r="H36" s="531">
        <v>0</v>
      </c>
      <c r="I36" s="531">
        <v>0</v>
      </c>
      <c r="J36" s="531">
        <v>0</v>
      </c>
      <c r="K36" s="568"/>
      <c r="L36" s="532"/>
      <c r="M36" s="743"/>
    </row>
    <row r="37" spans="1:13" s="4" customFormat="1" ht="12.75" hidden="1" customHeight="1" x14ac:dyDescent="0.2">
      <c r="A37" s="689">
        <f t="shared" si="1"/>
        <v>27</v>
      </c>
      <c r="B37" s="74" t="s">
        <v>83</v>
      </c>
      <c r="C37" s="190" t="s">
        <v>84</v>
      </c>
      <c r="D37" s="594">
        <v>0</v>
      </c>
      <c r="E37" s="590">
        <f t="shared" si="4"/>
        <v>0</v>
      </c>
      <c r="F37" s="383">
        <f t="shared" si="5"/>
        <v>0</v>
      </c>
      <c r="G37" s="531"/>
      <c r="H37" s="531">
        <v>0</v>
      </c>
      <c r="I37" s="531">
        <v>0</v>
      </c>
      <c r="J37" s="531">
        <v>0</v>
      </c>
      <c r="K37" s="568"/>
      <c r="L37" s="532"/>
      <c r="M37" s="743"/>
    </row>
    <row r="38" spans="1:13" s="4" customFormat="1" ht="12.75" hidden="1" customHeight="1" x14ac:dyDescent="0.2">
      <c r="A38" s="702">
        <f t="shared" si="1"/>
        <v>28</v>
      </c>
      <c r="B38" s="59" t="s">
        <v>86</v>
      </c>
      <c r="C38" s="190" t="s">
        <v>87</v>
      </c>
      <c r="D38" s="594">
        <v>0</v>
      </c>
      <c r="E38" s="590">
        <f t="shared" si="4"/>
        <v>0</v>
      </c>
      <c r="F38" s="383">
        <f t="shared" si="5"/>
        <v>0</v>
      </c>
      <c r="G38" s="531">
        <v>0</v>
      </c>
      <c r="H38" s="531">
        <v>0</v>
      </c>
      <c r="I38" s="531">
        <v>0</v>
      </c>
      <c r="J38" s="531">
        <v>0</v>
      </c>
      <c r="K38" s="568"/>
      <c r="L38" s="532"/>
      <c r="M38" s="743"/>
    </row>
    <row r="39" spans="1:13" s="4" customFormat="1" ht="12.75" hidden="1" customHeight="1" x14ac:dyDescent="0.2">
      <c r="A39" s="689">
        <f t="shared" si="1"/>
        <v>29</v>
      </c>
      <c r="B39" s="55" t="s">
        <v>91</v>
      </c>
      <c r="C39" s="559" t="s">
        <v>92</v>
      </c>
      <c r="D39" s="590">
        <v>0</v>
      </c>
      <c r="E39" s="590">
        <f t="shared" si="4"/>
        <v>0</v>
      </c>
      <c r="F39" s="529"/>
      <c r="G39" s="536"/>
      <c r="H39" s="537"/>
      <c r="I39" s="537"/>
      <c r="J39" s="538"/>
      <c r="K39" s="565"/>
      <c r="L39" s="537"/>
      <c r="M39" s="745"/>
    </row>
    <row r="40" spans="1:13" s="4" customFormat="1" ht="12.75" hidden="1" customHeight="1" x14ac:dyDescent="0.2">
      <c r="A40" s="702">
        <f t="shared" si="1"/>
        <v>30</v>
      </c>
      <c r="B40" s="55" t="s">
        <v>309</v>
      </c>
      <c r="C40" s="559" t="s">
        <v>310</v>
      </c>
      <c r="D40" s="590">
        <v>0</v>
      </c>
      <c r="E40" s="590">
        <f t="shared" si="4"/>
        <v>0</v>
      </c>
      <c r="F40" s="529"/>
      <c r="G40" s="536"/>
      <c r="H40" s="537"/>
      <c r="I40" s="537"/>
      <c r="J40" s="538"/>
      <c r="K40" s="565"/>
      <c r="L40" s="537"/>
      <c r="M40" s="745"/>
    </row>
    <row r="41" spans="1:13" s="4" customFormat="1" hidden="1" x14ac:dyDescent="0.2">
      <c r="A41" s="689">
        <f t="shared" si="1"/>
        <v>31</v>
      </c>
      <c r="B41" s="55" t="s">
        <v>95</v>
      </c>
      <c r="C41" s="189" t="s">
        <v>96</v>
      </c>
      <c r="D41" s="590">
        <f>D42+D43+D44</f>
        <v>0</v>
      </c>
      <c r="E41" s="590">
        <f t="shared" si="4"/>
        <v>0</v>
      </c>
      <c r="F41" s="529">
        <f t="shared" ref="F41:F48" si="6">G41+H41+I41+J41</f>
        <v>0</v>
      </c>
      <c r="G41" s="536">
        <f>G42+G43+G44</f>
        <v>0</v>
      </c>
      <c r="H41" s="537">
        <f>H42+H43+H44</f>
        <v>0</v>
      </c>
      <c r="I41" s="537">
        <f>I42+I43+I44</f>
        <v>0</v>
      </c>
      <c r="J41" s="537">
        <f>J42+J43+J44</f>
        <v>0</v>
      </c>
      <c r="K41" s="565"/>
      <c r="L41" s="537"/>
      <c r="M41" s="745"/>
    </row>
    <row r="42" spans="1:13" s="4" customFormat="1" hidden="1" x14ac:dyDescent="0.2">
      <c r="A42" s="702">
        <f t="shared" si="1"/>
        <v>32</v>
      </c>
      <c r="B42" s="59" t="s">
        <v>97</v>
      </c>
      <c r="C42" s="117" t="s">
        <v>98</v>
      </c>
      <c r="D42" s="594">
        <v>0</v>
      </c>
      <c r="E42" s="590">
        <f t="shared" si="4"/>
        <v>0</v>
      </c>
      <c r="F42" s="383">
        <f t="shared" si="6"/>
        <v>0</v>
      </c>
      <c r="G42" s="531"/>
      <c r="H42" s="532"/>
      <c r="I42" s="532"/>
      <c r="J42" s="533"/>
      <c r="K42" s="568"/>
      <c r="L42" s="532"/>
      <c r="M42" s="743"/>
    </row>
    <row r="43" spans="1:13" s="4" customFormat="1" hidden="1" x14ac:dyDescent="0.2">
      <c r="A43" s="689">
        <f t="shared" si="1"/>
        <v>33</v>
      </c>
      <c r="B43" s="59" t="s">
        <v>99</v>
      </c>
      <c r="C43" s="117" t="s">
        <v>100</v>
      </c>
      <c r="D43" s="594">
        <v>0</v>
      </c>
      <c r="E43" s="590">
        <f t="shared" si="4"/>
        <v>0</v>
      </c>
      <c r="F43" s="383">
        <f t="shared" si="6"/>
        <v>0</v>
      </c>
      <c r="G43" s="531"/>
      <c r="H43" s="532"/>
      <c r="I43" s="532"/>
      <c r="J43" s="533"/>
      <c r="K43" s="568"/>
      <c r="L43" s="532"/>
      <c r="M43" s="743"/>
    </row>
    <row r="44" spans="1:13" s="4" customFormat="1" ht="13.5" hidden="1" thickBot="1" x14ac:dyDescent="0.25">
      <c r="A44" s="702">
        <f t="shared" si="1"/>
        <v>34</v>
      </c>
      <c r="B44" s="106" t="s">
        <v>101</v>
      </c>
      <c r="C44" s="196" t="s">
        <v>102</v>
      </c>
      <c r="D44" s="604">
        <v>0</v>
      </c>
      <c r="E44" s="590">
        <f t="shared" si="4"/>
        <v>0</v>
      </c>
      <c r="F44" s="498">
        <f t="shared" si="6"/>
        <v>0</v>
      </c>
      <c r="G44" s="499"/>
      <c r="H44" s="500"/>
      <c r="I44" s="500"/>
      <c r="J44" s="501"/>
      <c r="K44" s="574"/>
      <c r="L44" s="500"/>
      <c r="M44" s="747"/>
    </row>
    <row r="45" spans="1:13" s="4" customFormat="1" hidden="1" x14ac:dyDescent="0.2">
      <c r="A45" s="702">
        <f t="shared" si="1"/>
        <v>35</v>
      </c>
      <c r="B45" s="467" t="s">
        <v>311</v>
      </c>
      <c r="C45" s="69" t="s">
        <v>105</v>
      </c>
      <c r="D45" s="401" t="s">
        <v>139</v>
      </c>
      <c r="E45" s="590">
        <f t="shared" si="4"/>
        <v>0</v>
      </c>
      <c r="F45" s="503">
        <f t="shared" si="6"/>
        <v>0</v>
      </c>
      <c r="G45" s="504">
        <f>G46+G47+G48</f>
        <v>0</v>
      </c>
      <c r="H45" s="504">
        <f>H46+H47+H48</f>
        <v>0</v>
      </c>
      <c r="I45" s="504">
        <f>I46+I47+I48</f>
        <v>0</v>
      </c>
      <c r="J45" s="505">
        <f>J46+J47+J48</f>
        <v>0</v>
      </c>
      <c r="K45" s="506"/>
      <c r="L45" s="504"/>
      <c r="M45" s="705"/>
    </row>
    <row r="46" spans="1:13" s="4" customFormat="1" hidden="1" x14ac:dyDescent="0.2">
      <c r="A46" s="689">
        <f t="shared" si="1"/>
        <v>36</v>
      </c>
      <c r="B46" s="59" t="s">
        <v>106</v>
      </c>
      <c r="C46" s="41" t="s">
        <v>107</v>
      </c>
      <c r="D46" s="190" t="s">
        <v>139</v>
      </c>
      <c r="E46" s="590">
        <f t="shared" si="4"/>
        <v>0</v>
      </c>
      <c r="F46" s="508">
        <f t="shared" si="6"/>
        <v>0</v>
      </c>
      <c r="G46" s="509">
        <v>0</v>
      </c>
      <c r="H46" s="509">
        <v>0</v>
      </c>
      <c r="I46" s="509">
        <v>0</v>
      </c>
      <c r="J46" s="510">
        <v>0</v>
      </c>
      <c r="K46" s="511"/>
      <c r="L46" s="509"/>
      <c r="M46" s="706"/>
    </row>
    <row r="47" spans="1:13" s="4" customFormat="1" hidden="1" x14ac:dyDescent="0.2">
      <c r="A47" s="702">
        <f t="shared" si="1"/>
        <v>37</v>
      </c>
      <c r="B47" s="59" t="s">
        <v>108</v>
      </c>
      <c r="C47" s="41" t="s">
        <v>109</v>
      </c>
      <c r="D47" s="190"/>
      <c r="E47" s="590">
        <f t="shared" si="4"/>
        <v>0</v>
      </c>
      <c r="F47" s="508">
        <f t="shared" si="6"/>
        <v>0</v>
      </c>
      <c r="G47" s="509">
        <v>0</v>
      </c>
      <c r="H47" s="509">
        <v>0</v>
      </c>
      <c r="I47" s="509">
        <v>0</v>
      </c>
      <c r="J47" s="510">
        <v>0</v>
      </c>
      <c r="K47" s="511"/>
      <c r="L47" s="509"/>
      <c r="M47" s="706"/>
    </row>
    <row r="48" spans="1:13" s="4" customFormat="1" hidden="1" x14ac:dyDescent="0.2">
      <c r="A48" s="689">
        <f t="shared" si="1"/>
        <v>38</v>
      </c>
      <c r="B48" s="59" t="s">
        <v>110</v>
      </c>
      <c r="C48" s="41" t="s">
        <v>111</v>
      </c>
      <c r="D48" s="190"/>
      <c r="E48" s="590">
        <f t="shared" si="4"/>
        <v>0</v>
      </c>
      <c r="F48" s="508">
        <f t="shared" si="6"/>
        <v>0</v>
      </c>
      <c r="G48" s="509">
        <v>0</v>
      </c>
      <c r="H48" s="509">
        <v>0</v>
      </c>
      <c r="I48" s="509">
        <v>0</v>
      </c>
      <c r="J48" s="510">
        <v>0</v>
      </c>
      <c r="K48" s="511"/>
      <c r="L48" s="509"/>
      <c r="M48" s="706"/>
    </row>
    <row r="49" spans="1:15" s="4" customFormat="1" ht="12.75" hidden="1" customHeight="1" x14ac:dyDescent="0.2">
      <c r="A49" s="702">
        <f t="shared" si="1"/>
        <v>39</v>
      </c>
      <c r="B49" s="77" t="s">
        <v>113</v>
      </c>
      <c r="C49" s="56" t="s">
        <v>114</v>
      </c>
      <c r="D49" s="189"/>
      <c r="E49" s="590">
        <f t="shared" si="4"/>
        <v>0</v>
      </c>
      <c r="F49" s="508"/>
      <c r="G49" s="509"/>
      <c r="H49" s="509"/>
      <c r="I49" s="509"/>
      <c r="J49" s="510"/>
      <c r="K49" s="511"/>
      <c r="L49" s="509"/>
      <c r="M49" s="706"/>
    </row>
    <row r="50" spans="1:15" s="4" customFormat="1" ht="12.75" hidden="1" customHeight="1" x14ac:dyDescent="0.2">
      <c r="A50" s="689">
        <f t="shared" si="1"/>
        <v>40</v>
      </c>
      <c r="B50" s="59" t="s">
        <v>115</v>
      </c>
      <c r="C50" s="41" t="s">
        <v>116</v>
      </c>
      <c r="D50" s="190"/>
      <c r="E50" s="590">
        <f t="shared" si="4"/>
        <v>0</v>
      </c>
      <c r="F50" s="508"/>
      <c r="G50" s="509"/>
      <c r="H50" s="509"/>
      <c r="I50" s="509"/>
      <c r="J50" s="510"/>
      <c r="K50" s="511"/>
      <c r="L50" s="509"/>
      <c r="M50" s="706"/>
    </row>
    <row r="51" spans="1:15" s="4" customFormat="1" ht="12.75" hidden="1" customHeight="1" x14ac:dyDescent="0.2">
      <c r="A51" s="702">
        <f t="shared" si="1"/>
        <v>41</v>
      </c>
      <c r="B51" s="59" t="s">
        <v>117</v>
      </c>
      <c r="C51" s="41" t="s">
        <v>118</v>
      </c>
      <c r="D51" s="190"/>
      <c r="E51" s="590">
        <f t="shared" si="4"/>
        <v>0</v>
      </c>
      <c r="F51" s="508"/>
      <c r="G51" s="509"/>
      <c r="H51" s="509"/>
      <c r="I51" s="509"/>
      <c r="J51" s="510"/>
      <c r="K51" s="511"/>
      <c r="L51" s="509"/>
      <c r="M51" s="706"/>
    </row>
    <row r="52" spans="1:15" s="4" customFormat="1" ht="12.75" hidden="1" customHeight="1" x14ac:dyDescent="0.2">
      <c r="A52" s="689">
        <f t="shared" si="1"/>
        <v>42</v>
      </c>
      <c r="B52" s="55" t="s">
        <v>119</v>
      </c>
      <c r="C52" s="56" t="s">
        <v>120</v>
      </c>
      <c r="D52" s="189"/>
      <c r="E52" s="590">
        <f t="shared" si="4"/>
        <v>0</v>
      </c>
      <c r="F52" s="508"/>
      <c r="G52" s="513"/>
      <c r="H52" s="513"/>
      <c r="I52" s="513"/>
      <c r="J52" s="514"/>
      <c r="K52" s="515"/>
      <c r="L52" s="513"/>
      <c r="M52" s="707"/>
    </row>
    <row r="53" spans="1:15" s="4" customFormat="1" ht="12.75" hidden="1" customHeight="1" x14ac:dyDescent="0.2">
      <c r="A53" s="702">
        <f t="shared" si="1"/>
        <v>43</v>
      </c>
      <c r="B53" s="55" t="s">
        <v>121</v>
      </c>
      <c r="C53" s="56" t="s">
        <v>122</v>
      </c>
      <c r="D53" s="189"/>
      <c r="E53" s="590">
        <f t="shared" si="4"/>
        <v>0</v>
      </c>
      <c r="F53" s="508"/>
      <c r="G53" s="513"/>
      <c r="H53" s="513"/>
      <c r="I53" s="513"/>
      <c r="J53" s="514"/>
      <c r="K53" s="515"/>
      <c r="L53" s="513"/>
      <c r="M53" s="707"/>
    </row>
    <row r="54" spans="1:15" s="4" customFormat="1" ht="12.75" hidden="1" customHeight="1" x14ac:dyDescent="0.2">
      <c r="A54" s="689">
        <f t="shared" si="1"/>
        <v>44</v>
      </c>
      <c r="B54" s="55" t="s">
        <v>123</v>
      </c>
      <c r="C54" s="56" t="s">
        <v>124</v>
      </c>
      <c r="D54" s="189"/>
      <c r="E54" s="590">
        <f t="shared" si="4"/>
        <v>0</v>
      </c>
      <c r="F54" s="508"/>
      <c r="G54" s="513"/>
      <c r="H54" s="513"/>
      <c r="I54" s="513"/>
      <c r="J54" s="514"/>
      <c r="K54" s="515"/>
      <c r="L54" s="513"/>
      <c r="M54" s="707"/>
    </row>
    <row r="55" spans="1:15" s="4" customFormat="1" ht="12.75" hidden="1" customHeight="1" x14ac:dyDescent="0.2">
      <c r="A55" s="702">
        <f t="shared" si="1"/>
        <v>45</v>
      </c>
      <c r="B55" s="55" t="s">
        <v>125</v>
      </c>
      <c r="C55" s="56" t="s">
        <v>126</v>
      </c>
      <c r="D55" s="189"/>
      <c r="E55" s="590">
        <f t="shared" si="4"/>
        <v>0</v>
      </c>
      <c r="F55" s="508"/>
      <c r="G55" s="509"/>
      <c r="H55" s="509"/>
      <c r="I55" s="509"/>
      <c r="J55" s="510"/>
      <c r="K55" s="511"/>
      <c r="L55" s="509"/>
      <c r="M55" s="706"/>
    </row>
    <row r="56" spans="1:15" s="4" customFormat="1" hidden="1" x14ac:dyDescent="0.2">
      <c r="A56" s="689">
        <f t="shared" si="1"/>
        <v>46</v>
      </c>
      <c r="B56" s="55" t="s">
        <v>312</v>
      </c>
      <c r="C56" s="56" t="s">
        <v>128</v>
      </c>
      <c r="D56" s="189" t="s">
        <v>139</v>
      </c>
      <c r="E56" s="590">
        <f t="shared" si="4"/>
        <v>0</v>
      </c>
      <c r="F56" s="517">
        <f>G56+H56+I56+J56</f>
        <v>0</v>
      </c>
      <c r="G56" s="513">
        <f>G57</f>
        <v>0</v>
      </c>
      <c r="H56" s="513">
        <f>H57</f>
        <v>0</v>
      </c>
      <c r="I56" s="513">
        <f>I57</f>
        <v>0</v>
      </c>
      <c r="J56" s="514">
        <f>J57</f>
        <v>0</v>
      </c>
      <c r="K56" s="515"/>
      <c r="L56" s="513"/>
      <c r="M56" s="707"/>
    </row>
    <row r="57" spans="1:15" s="4" customFormat="1" ht="15" hidden="1" customHeight="1" thickBot="1" x14ac:dyDescent="0.25">
      <c r="A57" s="928">
        <f t="shared" si="1"/>
        <v>47</v>
      </c>
      <c r="B57" s="901" t="s">
        <v>131</v>
      </c>
      <c r="C57" s="844" t="s">
        <v>132</v>
      </c>
      <c r="D57" s="929" t="s">
        <v>139</v>
      </c>
      <c r="E57" s="590">
        <f t="shared" si="4"/>
        <v>0</v>
      </c>
      <c r="F57" s="930">
        <f>G57+H57+I57+J57</f>
        <v>0</v>
      </c>
      <c r="G57" s="931">
        <v>0</v>
      </c>
      <c r="H57" s="931">
        <v>0</v>
      </c>
      <c r="I57" s="931">
        <v>0</v>
      </c>
      <c r="J57" s="932">
        <v>0</v>
      </c>
      <c r="K57" s="933"/>
      <c r="L57" s="931"/>
      <c r="M57" s="934"/>
    </row>
    <row r="58" spans="1:15" s="4" customFormat="1" x14ac:dyDescent="0.2">
      <c r="B58" s="151" t="s">
        <v>220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</row>
    <row r="59" spans="1:15" s="4" customFormat="1" ht="12.75" customHeight="1" x14ac:dyDescent="0.2">
      <c r="B59" s="151" t="s">
        <v>221</v>
      </c>
      <c r="C59" s="1107" t="s">
        <v>222</v>
      </c>
      <c r="D59" s="1107"/>
      <c r="E59" s="1107"/>
      <c r="F59" s="1107"/>
      <c r="G59" s="152" t="s">
        <v>223</v>
      </c>
      <c r="I59" s="154"/>
      <c r="J59" s="154"/>
      <c r="K59" s="152" t="s">
        <v>224</v>
      </c>
      <c r="O59" s="6"/>
    </row>
    <row r="60" spans="1:15" s="4" customFormat="1" ht="12.75" customHeight="1" x14ac:dyDescent="0.2">
      <c r="B60" s="155" t="s">
        <v>225</v>
      </c>
      <c r="C60" s="1108" t="s">
        <v>392</v>
      </c>
      <c r="D60" s="1108"/>
      <c r="E60" s="1108"/>
      <c r="F60" s="1108"/>
      <c r="G60" s="152" t="s">
        <v>227</v>
      </c>
      <c r="I60" s="156"/>
      <c r="J60" s="156"/>
      <c r="K60" s="1201" t="s">
        <v>229</v>
      </c>
      <c r="L60" s="1201"/>
      <c r="M60" s="1201"/>
      <c r="N60" s="1201"/>
      <c r="O60" s="6"/>
    </row>
    <row r="61" spans="1:15" ht="12.75" customHeight="1" x14ac:dyDescent="0.2">
      <c r="J61" s="305"/>
      <c r="K61" s="152"/>
      <c r="L61" s="4"/>
      <c r="M61" s="4"/>
      <c r="N61" s="4"/>
    </row>
    <row r="62" spans="1:15" ht="12.75" customHeight="1" x14ac:dyDescent="0.2"/>
    <row r="63" spans="1:15" ht="12.75" customHeight="1" x14ac:dyDescent="0.2"/>
    <row r="64" spans="1:1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</sheetData>
  <sheetProtection selectLockedCells="1" selectUnlockedCells="1"/>
  <mergeCells count="13">
    <mergeCell ref="A9:A10"/>
    <mergeCell ref="B9:B10"/>
    <mergeCell ref="C9:C10"/>
    <mergeCell ref="D9:D10"/>
    <mergeCell ref="E9:E10"/>
    <mergeCell ref="F9:F10"/>
    <mergeCell ref="G9:J9"/>
    <mergeCell ref="K9:M9"/>
    <mergeCell ref="K60:N60"/>
    <mergeCell ref="J1:L1"/>
    <mergeCell ref="B4:M4"/>
    <mergeCell ref="B6:G6"/>
    <mergeCell ref="C7:F7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0" firstPageNumber="0" orientation="landscape" r:id="rId1"/>
  <headerFooter alignWithMargins="0"/>
  <rowBreaks count="1" manualBreakCount="1">
    <brk id="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672B-EB75-472C-8086-1D7C1FB3AA45}">
  <sheetPr>
    <pageSetUpPr fitToPage="1"/>
  </sheetPr>
  <dimension ref="A1:T144"/>
  <sheetViews>
    <sheetView zoomScale="110" zoomScaleNormal="110" workbookViewId="0">
      <selection activeCell="D148" sqref="D148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7.85546875" style="1" customWidth="1"/>
    <col min="4" max="4" width="10.28515625" style="1" customWidth="1"/>
    <col min="5" max="5" width="9.7109375" style="1" hidden="1" customWidth="1"/>
    <col min="6" max="6" width="10.28515625" style="1" customWidth="1"/>
    <col min="7" max="7" width="8" style="1" customWidth="1"/>
    <col min="8" max="8" width="7.8554687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7" width="9.140625" style="1" customWidth="1"/>
    <col min="18" max="18" width="19.7109375" style="1" customWidth="1"/>
    <col min="19" max="16384" width="9.140625" style="1"/>
  </cols>
  <sheetData>
    <row r="1" spans="1:20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20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20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20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20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20" ht="12.75" customHeight="1" x14ac:dyDescent="0.2">
      <c r="B6" s="1119" t="s">
        <v>372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20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0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20" s="4" customFormat="1" ht="12.75" customHeight="1" x14ac:dyDescent="0.2">
      <c r="A9" s="1121" t="s">
        <v>6</v>
      </c>
      <c r="B9" s="1111" t="s">
        <v>7</v>
      </c>
      <c r="C9" s="1111" t="s">
        <v>8</v>
      </c>
      <c r="D9" s="1111" t="s">
        <v>381</v>
      </c>
      <c r="E9" s="1138"/>
      <c r="F9" s="1140" t="s">
        <v>380</v>
      </c>
      <c r="G9" s="1142" t="s">
        <v>12</v>
      </c>
      <c r="H9" s="1142"/>
      <c r="I9" s="1142"/>
      <c r="J9" s="1142"/>
      <c r="K9" s="1116" t="s">
        <v>13</v>
      </c>
      <c r="L9" s="1116"/>
      <c r="M9" s="1117"/>
    </row>
    <row r="10" spans="1:20" s="4" customFormat="1" ht="48" customHeight="1" x14ac:dyDescent="0.2">
      <c r="A10" s="1122"/>
      <c r="B10" s="1112"/>
      <c r="C10" s="1112"/>
      <c r="D10" s="1112"/>
      <c r="E10" s="1139"/>
      <c r="F10" s="1141"/>
      <c r="G10" s="822" t="s">
        <v>14</v>
      </c>
      <c r="H10" s="822" t="s">
        <v>15</v>
      </c>
      <c r="I10" s="822" t="s">
        <v>16</v>
      </c>
      <c r="J10" s="822" t="s">
        <v>17</v>
      </c>
      <c r="K10" s="822">
        <v>2026</v>
      </c>
      <c r="L10" s="823">
        <v>2027</v>
      </c>
      <c r="M10" s="1023">
        <v>2028</v>
      </c>
    </row>
    <row r="11" spans="1:20" s="4" customFormat="1" ht="27" customHeight="1" x14ac:dyDescent="0.2">
      <c r="A11" s="907" t="s">
        <v>18</v>
      </c>
      <c r="B11" s="628" t="s">
        <v>19</v>
      </c>
      <c r="C11" s="824"/>
      <c r="D11" s="825">
        <f>D12</f>
        <v>0</v>
      </c>
      <c r="E11" s="825">
        <f>E12</f>
        <v>0</v>
      </c>
      <c r="F11" s="628">
        <f>F12+F118</f>
        <v>77046</v>
      </c>
      <c r="G11" s="628">
        <f>G12+G118</f>
        <v>23254</v>
      </c>
      <c r="H11" s="628">
        <f>H12+H118</f>
        <v>24176</v>
      </c>
      <c r="I11" s="628">
        <f>I12+I118</f>
        <v>23692</v>
      </c>
      <c r="J11" s="628">
        <f>J12+J118</f>
        <v>5924</v>
      </c>
      <c r="K11" s="628">
        <f t="shared" ref="K11:M12" si="0">K12</f>
        <v>79630.568199999994</v>
      </c>
      <c r="L11" s="628">
        <f t="shared" si="0"/>
        <v>82004.656999999992</v>
      </c>
      <c r="M11" s="737">
        <f t="shared" si="0"/>
        <v>84430.932160000011</v>
      </c>
    </row>
    <row r="12" spans="1:20" s="4" customFormat="1" ht="22.5" customHeight="1" x14ac:dyDescent="0.2">
      <c r="A12" s="908">
        <f>A11+1</f>
        <v>2</v>
      </c>
      <c r="B12" s="630" t="s">
        <v>20</v>
      </c>
      <c r="C12" s="630"/>
      <c r="D12" s="826">
        <f>D13</f>
        <v>0</v>
      </c>
      <c r="E12" s="826">
        <f>E13</f>
        <v>0</v>
      </c>
      <c r="F12" s="826">
        <f>F13</f>
        <v>77046</v>
      </c>
      <c r="G12" s="826">
        <f>G13</f>
        <v>23254</v>
      </c>
      <c r="H12" s="826">
        <f>H13</f>
        <v>24176</v>
      </c>
      <c r="I12" s="826">
        <f>I13</f>
        <v>23692</v>
      </c>
      <c r="J12" s="826">
        <f>J13</f>
        <v>5924</v>
      </c>
      <c r="K12" s="826">
        <f t="shared" si="0"/>
        <v>79630.568199999994</v>
      </c>
      <c r="L12" s="826">
        <f t="shared" si="0"/>
        <v>82004.656999999992</v>
      </c>
      <c r="M12" s="1024">
        <f t="shared" si="0"/>
        <v>84430.932160000011</v>
      </c>
    </row>
    <row r="13" spans="1:20" s="4" customFormat="1" ht="12.75" customHeight="1" x14ac:dyDescent="0.2">
      <c r="A13" s="907">
        <v>3</v>
      </c>
      <c r="B13" s="632" t="s">
        <v>21</v>
      </c>
      <c r="C13" s="658" t="s">
        <v>22</v>
      </c>
      <c r="D13" s="845">
        <f>D14+D34+D92</f>
        <v>0</v>
      </c>
      <c r="E13" s="845">
        <f>E14+E34+E92</f>
        <v>0</v>
      </c>
      <c r="F13" s="628">
        <f>F14+F34+F92+F112</f>
        <v>77046</v>
      </c>
      <c r="G13" s="628">
        <f>G14+G34+G92+G112</f>
        <v>23254</v>
      </c>
      <c r="H13" s="628">
        <f>H14+H34+H92+H112</f>
        <v>24176</v>
      </c>
      <c r="I13" s="628">
        <f>I14+I34+I92+I112</f>
        <v>23692</v>
      </c>
      <c r="J13" s="628">
        <f>J14+J34+J92+J112</f>
        <v>5924</v>
      </c>
      <c r="K13" s="628">
        <f>K14+K34+K92</f>
        <v>79630.568199999994</v>
      </c>
      <c r="L13" s="628">
        <f>L14+L34+L92</f>
        <v>82004.656999999992</v>
      </c>
      <c r="M13" s="737">
        <f>M14+M34+M92</f>
        <v>84430.932160000011</v>
      </c>
      <c r="O13" s="152"/>
      <c r="P13" s="152"/>
      <c r="Q13" s="152"/>
      <c r="R13" s="152"/>
      <c r="S13" s="159"/>
      <c r="T13" s="159"/>
    </row>
    <row r="14" spans="1:20" s="4" customFormat="1" ht="12.75" customHeight="1" x14ac:dyDescent="0.2">
      <c r="A14" s="907">
        <v>4</v>
      </c>
      <c r="B14" s="649" t="s">
        <v>23</v>
      </c>
      <c r="C14" s="828" t="s">
        <v>24</v>
      </c>
      <c r="D14" s="846">
        <f>D15+D26+D23</f>
        <v>0</v>
      </c>
      <c r="E14" s="846">
        <f>E15+E26+E23</f>
        <v>0</v>
      </c>
      <c r="F14" s="939">
        <f>F15+F26+F23</f>
        <v>22885</v>
      </c>
      <c r="G14" s="628">
        <f>G15+G23+G26</f>
        <v>5743</v>
      </c>
      <c r="H14" s="628">
        <f>H15+H23+H26</f>
        <v>5845</v>
      </c>
      <c r="I14" s="628">
        <f>I15+I23+I26</f>
        <v>5687</v>
      </c>
      <c r="J14" s="628">
        <f>J15+J23+J26</f>
        <v>5610</v>
      </c>
      <c r="K14" s="628">
        <f>F14*103.6%</f>
        <v>23708.86</v>
      </c>
      <c r="L14" s="628">
        <f>F14*106.8%</f>
        <v>24441.18</v>
      </c>
      <c r="M14" s="737">
        <f>F14*110%</f>
        <v>25173.500000000004</v>
      </c>
      <c r="O14" s="152"/>
      <c r="P14" s="152"/>
      <c r="Q14" s="152"/>
      <c r="R14" s="152"/>
      <c r="S14" s="152"/>
      <c r="T14" s="152"/>
    </row>
    <row r="15" spans="1:20" s="4" customFormat="1" ht="12.75" customHeight="1" x14ac:dyDescent="0.2">
      <c r="A15" s="907">
        <v>5</v>
      </c>
      <c r="B15" s="637" t="s">
        <v>25</v>
      </c>
      <c r="C15" s="828" t="s">
        <v>26</v>
      </c>
      <c r="D15" s="846">
        <f>D16+D18+D21</f>
        <v>0</v>
      </c>
      <c r="E15" s="846">
        <f>E16+E18+E21</f>
        <v>0</v>
      </c>
      <c r="F15" s="628">
        <f>F16+F17+F18+F19+F20+F21</f>
        <v>22065</v>
      </c>
      <c r="G15" s="628">
        <f>G16+G17+G18+G19+G20+G21</f>
        <v>5624</v>
      </c>
      <c r="H15" s="628">
        <f>H16+H17+H18+H19+H20+H21</f>
        <v>5412</v>
      </c>
      <c r="I15" s="628">
        <f>I16+I17+I18+I19+I20+I21</f>
        <v>5552</v>
      </c>
      <c r="J15" s="628">
        <f>J16+J17+J18+J19+J20+J21</f>
        <v>5477</v>
      </c>
      <c r="K15" s="628"/>
      <c r="L15" s="628"/>
      <c r="M15" s="737"/>
      <c r="O15" s="152"/>
      <c r="P15" s="152"/>
      <c r="Q15" s="152"/>
      <c r="R15" s="152"/>
      <c r="S15" s="152"/>
      <c r="T15" s="152"/>
    </row>
    <row r="16" spans="1:20" s="4" customFormat="1" ht="12.75" customHeight="1" x14ac:dyDescent="0.2">
      <c r="A16" s="907">
        <v>6</v>
      </c>
      <c r="B16" s="638" t="s">
        <v>27</v>
      </c>
      <c r="C16" s="646" t="s">
        <v>28</v>
      </c>
      <c r="D16" s="627">
        <v>0</v>
      </c>
      <c r="E16" s="627">
        <v>0</v>
      </c>
      <c r="F16" s="634">
        <f t="shared" ref="F16:F21" si="1">G16+H16+I16+J16</f>
        <v>20479</v>
      </c>
      <c r="G16" s="634">
        <f>4875+331</f>
        <v>5206</v>
      </c>
      <c r="H16" s="634">
        <v>4982</v>
      </c>
      <c r="I16" s="634">
        <v>5111</v>
      </c>
      <c r="J16" s="634">
        <v>5180</v>
      </c>
      <c r="K16" s="634"/>
      <c r="L16" s="634"/>
      <c r="M16" s="910"/>
      <c r="O16" s="152"/>
      <c r="P16" s="152"/>
      <c r="Q16" s="152"/>
      <c r="R16" s="152"/>
      <c r="S16" s="152"/>
      <c r="T16" s="152"/>
    </row>
    <row r="17" spans="1:20" s="4" customFormat="1" ht="12.75" hidden="1" customHeight="1" x14ac:dyDescent="0.2">
      <c r="A17" s="907">
        <v>7</v>
      </c>
      <c r="B17" s="638" t="s">
        <v>29</v>
      </c>
      <c r="C17" s="646" t="s">
        <v>30</v>
      </c>
      <c r="D17" s="627"/>
      <c r="E17" s="627"/>
      <c r="F17" s="634">
        <f t="shared" si="1"/>
        <v>0</v>
      </c>
      <c r="G17" s="634"/>
      <c r="H17" s="634"/>
      <c r="I17" s="634"/>
      <c r="J17" s="634"/>
      <c r="K17" s="634"/>
      <c r="L17" s="634"/>
      <c r="M17" s="910"/>
      <c r="O17" s="152"/>
      <c r="P17" s="166"/>
      <c r="Q17" s="152"/>
      <c r="R17" s="152"/>
      <c r="S17" s="152"/>
      <c r="T17" s="152"/>
    </row>
    <row r="18" spans="1:20" s="4" customFormat="1" ht="12.75" customHeight="1" x14ac:dyDescent="0.2">
      <c r="A18" s="907">
        <v>8</v>
      </c>
      <c r="B18" s="638" t="s">
        <v>31</v>
      </c>
      <c r="C18" s="646" t="s">
        <v>32</v>
      </c>
      <c r="D18" s="627">
        <v>0</v>
      </c>
      <c r="E18" s="627">
        <v>0</v>
      </c>
      <c r="F18" s="634">
        <f t="shared" si="1"/>
        <v>11</v>
      </c>
      <c r="G18" s="634">
        <v>3</v>
      </c>
      <c r="H18" s="634">
        <v>3</v>
      </c>
      <c r="I18" s="634">
        <v>3</v>
      </c>
      <c r="J18" s="634">
        <v>2</v>
      </c>
      <c r="K18" s="634"/>
      <c r="L18" s="634"/>
      <c r="M18" s="910"/>
      <c r="O18" s="152"/>
      <c r="P18" s="166"/>
      <c r="Q18" s="152"/>
      <c r="R18" s="152"/>
      <c r="S18" s="152"/>
      <c r="T18" s="152"/>
    </row>
    <row r="19" spans="1:20" s="4" customFormat="1" ht="12.75" hidden="1" customHeight="1" x14ac:dyDescent="0.2">
      <c r="A19" s="907">
        <v>9</v>
      </c>
      <c r="B19" s="640" t="s">
        <v>33</v>
      </c>
      <c r="C19" s="641" t="s">
        <v>34</v>
      </c>
      <c r="D19" s="847"/>
      <c r="E19" s="847"/>
      <c r="F19" s="634">
        <f t="shared" si="1"/>
        <v>0</v>
      </c>
      <c r="G19" s="634"/>
      <c r="H19" s="634"/>
      <c r="I19" s="634"/>
      <c r="J19" s="634"/>
      <c r="K19" s="634"/>
      <c r="L19" s="634"/>
      <c r="M19" s="910"/>
      <c r="P19" s="48"/>
    </row>
    <row r="20" spans="1:20" s="4" customFormat="1" ht="12.75" hidden="1" customHeight="1" x14ac:dyDescent="0.2">
      <c r="A20" s="907">
        <v>10</v>
      </c>
      <c r="B20" s="638" t="s">
        <v>35</v>
      </c>
      <c r="C20" s="646" t="s">
        <v>36</v>
      </c>
      <c r="D20" s="627"/>
      <c r="E20" s="627"/>
      <c r="F20" s="634">
        <f t="shared" si="1"/>
        <v>0</v>
      </c>
      <c r="G20" s="634"/>
      <c r="H20" s="634"/>
      <c r="I20" s="634"/>
      <c r="J20" s="634"/>
      <c r="K20" s="634"/>
      <c r="L20" s="634"/>
      <c r="M20" s="910"/>
      <c r="P20" s="48"/>
    </row>
    <row r="21" spans="1:20" s="4" customFormat="1" ht="12.75" customHeight="1" x14ac:dyDescent="0.2">
      <c r="A21" s="907">
        <v>11</v>
      </c>
      <c r="B21" s="638" t="s">
        <v>37</v>
      </c>
      <c r="C21" s="646" t="s">
        <v>38</v>
      </c>
      <c r="D21" s="627">
        <v>0</v>
      </c>
      <c r="E21" s="627">
        <v>0</v>
      </c>
      <c r="F21" s="634">
        <f t="shared" si="1"/>
        <v>1575</v>
      </c>
      <c r="G21" s="634">
        <v>415</v>
      </c>
      <c r="H21" s="634">
        <v>427</v>
      </c>
      <c r="I21" s="634">
        <v>438</v>
      </c>
      <c r="J21" s="634">
        <v>295</v>
      </c>
      <c r="K21" s="634"/>
      <c r="L21" s="634"/>
      <c r="M21" s="910"/>
      <c r="P21" s="48"/>
    </row>
    <row r="22" spans="1:20" s="4" customFormat="1" ht="12.75" hidden="1" customHeight="1" x14ac:dyDescent="0.2">
      <c r="A22" s="907">
        <v>12</v>
      </c>
      <c r="B22" s="638" t="s">
        <v>39</v>
      </c>
      <c r="C22" s="646" t="s">
        <v>40</v>
      </c>
      <c r="D22" s="627"/>
      <c r="E22" s="627"/>
      <c r="F22" s="634"/>
      <c r="G22" s="634"/>
      <c r="H22" s="634"/>
      <c r="I22" s="634"/>
      <c r="J22" s="634"/>
      <c r="K22" s="634"/>
      <c r="L22" s="634"/>
      <c r="M22" s="910"/>
      <c r="P22" s="48"/>
    </row>
    <row r="23" spans="1:20" s="4" customFormat="1" ht="12.75" customHeight="1" x14ac:dyDescent="0.2">
      <c r="A23" s="907">
        <v>13</v>
      </c>
      <c r="B23" s="638" t="s">
        <v>41</v>
      </c>
      <c r="C23" s="650" t="s">
        <v>42</v>
      </c>
      <c r="D23" s="845">
        <f t="shared" ref="D23:J23" si="2">D24</f>
        <v>0</v>
      </c>
      <c r="E23" s="845">
        <f t="shared" si="2"/>
        <v>0</v>
      </c>
      <c r="F23" s="845">
        <f t="shared" si="2"/>
        <v>331</v>
      </c>
      <c r="G23" s="628">
        <f t="shared" si="2"/>
        <v>0</v>
      </c>
      <c r="H23" s="628">
        <f t="shared" si="2"/>
        <v>311</v>
      </c>
      <c r="I23" s="628">
        <f t="shared" si="2"/>
        <v>10</v>
      </c>
      <c r="J23" s="628">
        <f t="shared" si="2"/>
        <v>10</v>
      </c>
      <c r="K23" s="634"/>
      <c r="L23" s="634"/>
      <c r="M23" s="910"/>
      <c r="P23" s="48"/>
    </row>
    <row r="24" spans="1:20" s="4" customFormat="1" ht="12.75" customHeight="1" x14ac:dyDescent="0.2">
      <c r="A24" s="907">
        <v>14</v>
      </c>
      <c r="B24" s="638" t="s">
        <v>43</v>
      </c>
      <c r="C24" s="639" t="s">
        <v>44</v>
      </c>
      <c r="D24" s="627">
        <v>0</v>
      </c>
      <c r="E24" s="627">
        <v>0</v>
      </c>
      <c r="F24" s="634">
        <f>G24+H24+I24+J24</f>
        <v>331</v>
      </c>
      <c r="G24" s="634">
        <v>0</v>
      </c>
      <c r="H24" s="634">
        <v>311</v>
      </c>
      <c r="I24" s="634">
        <v>10</v>
      </c>
      <c r="J24" s="634">
        <v>10</v>
      </c>
      <c r="K24" s="634"/>
      <c r="L24" s="634"/>
      <c r="M24" s="910"/>
      <c r="P24" s="48"/>
    </row>
    <row r="25" spans="1:20" s="4" customFormat="1" ht="12.75" hidden="1" customHeight="1" x14ac:dyDescent="0.2">
      <c r="A25" s="907">
        <v>15</v>
      </c>
      <c r="B25" s="638" t="s">
        <v>230</v>
      </c>
      <c r="C25" s="639" t="s">
        <v>231</v>
      </c>
      <c r="D25" s="627">
        <v>0</v>
      </c>
      <c r="E25" s="627">
        <v>0</v>
      </c>
      <c r="F25" s="634">
        <f>G25+H25+I25+J25</f>
        <v>0</v>
      </c>
      <c r="G25" s="634"/>
      <c r="H25" s="634"/>
      <c r="I25" s="634"/>
      <c r="J25" s="634"/>
      <c r="K25" s="634"/>
      <c r="L25" s="634"/>
      <c r="M25" s="910"/>
      <c r="P25" s="48"/>
    </row>
    <row r="26" spans="1:20" s="4" customFormat="1" ht="12.75" customHeight="1" x14ac:dyDescent="0.2">
      <c r="A26" s="907">
        <v>16</v>
      </c>
      <c r="B26" s="637" t="s">
        <v>45</v>
      </c>
      <c r="C26" s="653" t="s">
        <v>46</v>
      </c>
      <c r="D26" s="845">
        <f>D32</f>
        <v>0</v>
      </c>
      <c r="E26" s="845">
        <f>E32</f>
        <v>0</v>
      </c>
      <c r="F26" s="628">
        <f>F27+F28+F29+F30+F31+F32+F33</f>
        <v>489</v>
      </c>
      <c r="G26" s="628">
        <f>G27+G28+G29+G30+G31+G32+G33</f>
        <v>119</v>
      </c>
      <c r="H26" s="628">
        <f>H27+H28+H29+H30+H31+H32+H33</f>
        <v>122</v>
      </c>
      <c r="I26" s="628">
        <f>I27+I28+I29+I30+I31+I32+I33</f>
        <v>125</v>
      </c>
      <c r="J26" s="628">
        <f>J27+J28+J29+J30+J31+J32+J33</f>
        <v>123</v>
      </c>
      <c r="K26" s="628"/>
      <c r="L26" s="628"/>
      <c r="M26" s="737"/>
    </row>
    <row r="27" spans="1:20" s="4" customFormat="1" ht="12.75" hidden="1" customHeight="1" x14ac:dyDescent="0.2">
      <c r="A27" s="907">
        <v>17</v>
      </c>
      <c r="B27" s="645" t="s">
        <v>47</v>
      </c>
      <c r="C27" s="646" t="s">
        <v>48</v>
      </c>
      <c r="D27" s="627">
        <v>0</v>
      </c>
      <c r="E27" s="627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/>
      <c r="L27" s="634"/>
      <c r="M27" s="910"/>
    </row>
    <row r="28" spans="1:20" s="4" customFormat="1" ht="12.75" hidden="1" customHeight="1" x14ac:dyDescent="0.2">
      <c r="A28" s="907">
        <v>18</v>
      </c>
      <c r="B28" s="645" t="s">
        <v>49</v>
      </c>
      <c r="C28" s="646" t="s">
        <v>50</v>
      </c>
      <c r="D28" s="627">
        <v>0</v>
      </c>
      <c r="E28" s="627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/>
      <c r="L28" s="634"/>
      <c r="M28" s="910"/>
    </row>
    <row r="29" spans="1:20" s="4" customFormat="1" ht="12.75" hidden="1" customHeight="1" x14ac:dyDescent="0.2">
      <c r="A29" s="907">
        <v>19</v>
      </c>
      <c r="B29" s="645" t="s">
        <v>51</v>
      </c>
      <c r="C29" s="646" t="s">
        <v>52</v>
      </c>
      <c r="D29" s="627">
        <v>0</v>
      </c>
      <c r="E29" s="627">
        <v>0</v>
      </c>
      <c r="F29" s="634">
        <v>0</v>
      </c>
      <c r="G29" s="634">
        <v>0</v>
      </c>
      <c r="H29" s="634">
        <v>0</v>
      </c>
      <c r="I29" s="634">
        <v>0</v>
      </c>
      <c r="J29" s="634">
        <v>0</v>
      </c>
      <c r="K29" s="634"/>
      <c r="L29" s="634"/>
      <c r="M29" s="910"/>
    </row>
    <row r="30" spans="1:20" s="4" customFormat="1" ht="25.5" hidden="1" customHeight="1" x14ac:dyDescent="0.2">
      <c r="A30" s="907">
        <v>20</v>
      </c>
      <c r="B30" s="830" t="s">
        <v>53</v>
      </c>
      <c r="C30" s="831" t="s">
        <v>54</v>
      </c>
      <c r="D30" s="829">
        <v>0</v>
      </c>
      <c r="E30" s="829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/>
      <c r="L30" s="634"/>
      <c r="M30" s="910"/>
    </row>
    <row r="31" spans="1:20" s="4" customFormat="1" ht="12.75" hidden="1" customHeight="1" x14ac:dyDescent="0.2">
      <c r="A31" s="907">
        <v>21</v>
      </c>
      <c r="B31" s="645" t="s">
        <v>55</v>
      </c>
      <c r="C31" s="646" t="s">
        <v>56</v>
      </c>
      <c r="D31" s="627">
        <v>0</v>
      </c>
      <c r="E31" s="627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/>
      <c r="L31" s="634"/>
      <c r="M31" s="910"/>
    </row>
    <row r="32" spans="1:20" s="4" customFormat="1" ht="12.75" customHeight="1" x14ac:dyDescent="0.2">
      <c r="A32" s="907">
        <v>22</v>
      </c>
      <c r="B32" s="645" t="s">
        <v>57</v>
      </c>
      <c r="C32" s="646" t="s">
        <v>58</v>
      </c>
      <c r="D32" s="627">
        <v>0</v>
      </c>
      <c r="E32" s="627">
        <v>0</v>
      </c>
      <c r="F32" s="634">
        <f>G32+H32+I32+J32</f>
        <v>489</v>
      </c>
      <c r="G32" s="634">
        <v>119</v>
      </c>
      <c r="H32" s="634">
        <v>122</v>
      </c>
      <c r="I32" s="634">
        <v>125</v>
      </c>
      <c r="J32" s="634">
        <v>123</v>
      </c>
      <c r="K32" s="634"/>
      <c r="L32" s="634"/>
      <c r="M32" s="910"/>
    </row>
    <row r="33" spans="1:13" s="4" customFormat="1" ht="12.75" hidden="1" customHeight="1" x14ac:dyDescent="0.2">
      <c r="A33" s="907">
        <v>23</v>
      </c>
      <c r="B33" s="645" t="s">
        <v>59</v>
      </c>
      <c r="C33" s="646" t="s">
        <v>60</v>
      </c>
      <c r="D33" s="627"/>
      <c r="E33" s="627"/>
      <c r="F33" s="634">
        <f t="shared" ref="F33:F96" si="3">G33+H33+I33+J33</f>
        <v>0</v>
      </c>
      <c r="G33" s="634"/>
      <c r="H33" s="634"/>
      <c r="I33" s="634"/>
      <c r="J33" s="634"/>
      <c r="K33" s="634"/>
      <c r="L33" s="634"/>
      <c r="M33" s="910"/>
    </row>
    <row r="34" spans="1:13" s="4" customFormat="1" ht="25.5" customHeight="1" x14ac:dyDescent="0.2">
      <c r="A34" s="907">
        <v>24</v>
      </c>
      <c r="B34" s="647" t="s">
        <v>61</v>
      </c>
      <c r="C34" s="647">
        <v>20</v>
      </c>
      <c r="D34" s="832">
        <f>D35+D78</f>
        <v>0</v>
      </c>
      <c r="E34" s="832">
        <f>E35+E78</f>
        <v>0</v>
      </c>
      <c r="F34" s="628">
        <f t="shared" si="3"/>
        <v>179</v>
      </c>
      <c r="G34" s="628">
        <f>G35+G57+G58+G59+G64+G69+G72+G73+G74+G75+G78</f>
        <v>46</v>
      </c>
      <c r="H34" s="628">
        <f>H35+H57+H58+H59+H64+H69+H72+H73+H74+H75+H78</f>
        <v>45</v>
      </c>
      <c r="I34" s="628">
        <f>I35+I57+I58+I59+I64+I69+I72+I73+I74+I75+I78</f>
        <v>44</v>
      </c>
      <c r="J34" s="628">
        <f>J35+J57+J58+J59+J64+J69+J72+J73+J74+J75+J78</f>
        <v>44</v>
      </c>
      <c r="K34" s="628">
        <f>F34*100.5%</f>
        <v>179.89499999999998</v>
      </c>
      <c r="L34" s="628">
        <f>F34*100.9%</f>
        <v>180.61100000000002</v>
      </c>
      <c r="M34" s="737">
        <f>F34*100.9%</f>
        <v>180.61100000000002</v>
      </c>
    </row>
    <row r="35" spans="1:13" s="4" customFormat="1" ht="12.75" customHeight="1" x14ac:dyDescent="0.2">
      <c r="A35" s="907">
        <v>25</v>
      </c>
      <c r="B35" s="649" t="s">
        <v>62</v>
      </c>
      <c r="C35" s="653" t="s">
        <v>63</v>
      </c>
      <c r="D35" s="845">
        <f>D47</f>
        <v>0</v>
      </c>
      <c r="E35" s="845">
        <f>E47</f>
        <v>0</v>
      </c>
      <c r="F35" s="634">
        <f t="shared" si="3"/>
        <v>179</v>
      </c>
      <c r="G35" s="628">
        <f>G36+G40+G43+G44+G45+G46+G47+G50+G53</f>
        <v>46</v>
      </c>
      <c r="H35" s="628">
        <f>H36+H40+H43+H44+H45+H46+H47+H50+H53</f>
        <v>45</v>
      </c>
      <c r="I35" s="628">
        <f>I36+I40+I43+I44+I45+I46+I47+I50+I53</f>
        <v>44</v>
      </c>
      <c r="J35" s="628">
        <f>J36+J40+J43+J44+J45+J46+J47+J50+J53</f>
        <v>44</v>
      </c>
      <c r="K35" s="628"/>
      <c r="L35" s="628"/>
      <c r="M35" s="737"/>
    </row>
    <row r="36" spans="1:13" s="4" customFormat="1" ht="12.75" hidden="1" customHeight="1" x14ac:dyDescent="0.2">
      <c r="A36" s="907">
        <v>26</v>
      </c>
      <c r="B36" s="637" t="s">
        <v>64</v>
      </c>
      <c r="C36" s="653" t="s">
        <v>65</v>
      </c>
      <c r="D36" s="845"/>
      <c r="E36" s="845"/>
      <c r="F36" s="634">
        <f t="shared" si="3"/>
        <v>0</v>
      </c>
      <c r="G36" s="634">
        <f>G37+G38+G39</f>
        <v>0</v>
      </c>
      <c r="H36" s="634">
        <f>H37+H38+H39</f>
        <v>0</v>
      </c>
      <c r="I36" s="634">
        <f>I37+I38+I39</f>
        <v>0</v>
      </c>
      <c r="J36" s="634">
        <f>J37+J38+J39</f>
        <v>0</v>
      </c>
      <c r="K36" s="634"/>
      <c r="L36" s="634"/>
      <c r="M36" s="910"/>
    </row>
    <row r="37" spans="1:13" s="4" customFormat="1" ht="12.75" hidden="1" customHeight="1" x14ac:dyDescent="0.2">
      <c r="A37" s="907">
        <v>27</v>
      </c>
      <c r="B37" s="645" t="s">
        <v>64</v>
      </c>
      <c r="C37" s="646"/>
      <c r="D37" s="627">
        <v>0</v>
      </c>
      <c r="E37" s="627"/>
      <c r="F37" s="634">
        <f t="shared" si="3"/>
        <v>0</v>
      </c>
      <c r="G37" s="634"/>
      <c r="H37" s="634"/>
      <c r="I37" s="634"/>
      <c r="J37" s="634"/>
      <c r="K37" s="634"/>
      <c r="L37" s="634"/>
      <c r="M37" s="910"/>
    </row>
    <row r="38" spans="1:13" s="4" customFormat="1" ht="12.75" hidden="1" customHeight="1" x14ac:dyDescent="0.2">
      <c r="A38" s="907">
        <v>28</v>
      </c>
      <c r="B38" s="645" t="s">
        <v>66</v>
      </c>
      <c r="C38" s="646"/>
      <c r="D38" s="627"/>
      <c r="E38" s="627"/>
      <c r="F38" s="634">
        <f t="shared" si="3"/>
        <v>0</v>
      </c>
      <c r="G38" s="634"/>
      <c r="H38" s="634"/>
      <c r="I38" s="634"/>
      <c r="J38" s="634"/>
      <c r="K38" s="634"/>
      <c r="L38" s="634"/>
      <c r="M38" s="910"/>
    </row>
    <row r="39" spans="1:13" s="4" customFormat="1" ht="12.75" hidden="1" customHeight="1" x14ac:dyDescent="0.2">
      <c r="A39" s="907">
        <v>29</v>
      </c>
      <c r="B39" s="645" t="s">
        <v>67</v>
      </c>
      <c r="C39" s="646"/>
      <c r="D39" s="627"/>
      <c r="E39" s="627"/>
      <c r="F39" s="634">
        <f t="shared" si="3"/>
        <v>0</v>
      </c>
      <c r="G39" s="634"/>
      <c r="H39" s="634"/>
      <c r="I39" s="634"/>
      <c r="J39" s="634"/>
      <c r="K39" s="634"/>
      <c r="L39" s="634"/>
      <c r="M39" s="910"/>
    </row>
    <row r="40" spans="1:13" s="4" customFormat="1" ht="12.75" hidden="1" customHeight="1" x14ac:dyDescent="0.2">
      <c r="A40" s="907">
        <v>30</v>
      </c>
      <c r="B40" s="637" t="s">
        <v>68</v>
      </c>
      <c r="C40" s="653" t="s">
        <v>69</v>
      </c>
      <c r="D40" s="845"/>
      <c r="E40" s="845"/>
      <c r="F40" s="634">
        <f t="shared" si="3"/>
        <v>0</v>
      </c>
      <c r="G40" s="634">
        <f>G41+G42</f>
        <v>0</v>
      </c>
      <c r="H40" s="634">
        <f>H41+H42</f>
        <v>0</v>
      </c>
      <c r="I40" s="634">
        <f>I41+I42</f>
        <v>0</v>
      </c>
      <c r="J40" s="634">
        <f>J41+J42</f>
        <v>0</v>
      </c>
      <c r="K40" s="634"/>
      <c r="L40" s="634"/>
      <c r="M40" s="910"/>
    </row>
    <row r="41" spans="1:13" s="4" customFormat="1" ht="12.75" hidden="1" customHeight="1" x14ac:dyDescent="0.2">
      <c r="A41" s="907">
        <v>31</v>
      </c>
      <c r="B41" s="645" t="s">
        <v>70</v>
      </c>
      <c r="C41" s="653"/>
      <c r="D41" s="845"/>
      <c r="E41" s="845"/>
      <c r="F41" s="634">
        <f t="shared" si="3"/>
        <v>0</v>
      </c>
      <c r="G41" s="634"/>
      <c r="H41" s="634"/>
      <c r="I41" s="634"/>
      <c r="J41" s="634"/>
      <c r="K41" s="634"/>
      <c r="L41" s="634"/>
      <c r="M41" s="910"/>
    </row>
    <row r="42" spans="1:13" s="4" customFormat="1" ht="12.75" hidden="1" customHeight="1" x14ac:dyDescent="0.2">
      <c r="A42" s="907">
        <v>32</v>
      </c>
      <c r="B42" s="645" t="s">
        <v>71</v>
      </c>
      <c r="C42" s="653"/>
      <c r="D42" s="845"/>
      <c r="E42" s="845"/>
      <c r="F42" s="634">
        <f t="shared" si="3"/>
        <v>0</v>
      </c>
      <c r="G42" s="634"/>
      <c r="H42" s="634"/>
      <c r="I42" s="634"/>
      <c r="J42" s="634"/>
      <c r="K42" s="634"/>
      <c r="L42" s="634"/>
      <c r="M42" s="910"/>
    </row>
    <row r="43" spans="1:13" s="4" customFormat="1" ht="12.75" hidden="1" customHeight="1" x14ac:dyDescent="0.2">
      <c r="A43" s="907">
        <v>33</v>
      </c>
      <c r="B43" s="645" t="s">
        <v>72</v>
      </c>
      <c r="C43" s="646" t="s">
        <v>73</v>
      </c>
      <c r="D43" s="627"/>
      <c r="E43" s="627"/>
      <c r="F43" s="634">
        <f t="shared" si="3"/>
        <v>0</v>
      </c>
      <c r="G43" s="634"/>
      <c r="H43" s="634"/>
      <c r="I43" s="634"/>
      <c r="J43" s="634"/>
      <c r="K43" s="634"/>
      <c r="L43" s="634"/>
      <c r="M43" s="910"/>
    </row>
    <row r="44" spans="1:13" s="4" customFormat="1" ht="12.75" hidden="1" customHeight="1" x14ac:dyDescent="0.2">
      <c r="A44" s="907">
        <v>34</v>
      </c>
      <c r="B44" s="645" t="s">
        <v>74</v>
      </c>
      <c r="C44" s="646" t="s">
        <v>75</v>
      </c>
      <c r="D44" s="627"/>
      <c r="E44" s="627"/>
      <c r="F44" s="634">
        <f t="shared" si="3"/>
        <v>0</v>
      </c>
      <c r="G44" s="634"/>
      <c r="H44" s="634"/>
      <c r="I44" s="634"/>
      <c r="J44" s="634"/>
      <c r="K44" s="634"/>
      <c r="L44" s="634"/>
      <c r="M44" s="910"/>
    </row>
    <row r="45" spans="1:13" s="4" customFormat="1" ht="12.75" hidden="1" customHeight="1" x14ac:dyDescent="0.2">
      <c r="A45" s="907">
        <v>35</v>
      </c>
      <c r="B45" s="645" t="s">
        <v>76</v>
      </c>
      <c r="C45" s="646" t="s">
        <v>77</v>
      </c>
      <c r="D45" s="627"/>
      <c r="E45" s="627"/>
      <c r="F45" s="634">
        <f t="shared" si="3"/>
        <v>0</v>
      </c>
      <c r="G45" s="634"/>
      <c r="H45" s="634"/>
      <c r="I45" s="634"/>
      <c r="J45" s="634"/>
      <c r="K45" s="634"/>
      <c r="L45" s="634"/>
      <c r="M45" s="910"/>
    </row>
    <row r="46" spans="1:13" s="4" customFormat="1" ht="12.75" hidden="1" customHeight="1" x14ac:dyDescent="0.2">
      <c r="A46" s="907">
        <v>36</v>
      </c>
      <c r="B46" s="645" t="s">
        <v>78</v>
      </c>
      <c r="C46" s="646" t="s">
        <v>79</v>
      </c>
      <c r="D46" s="627"/>
      <c r="E46" s="627"/>
      <c r="F46" s="634">
        <f t="shared" si="3"/>
        <v>0</v>
      </c>
      <c r="G46" s="634"/>
      <c r="H46" s="634"/>
      <c r="I46" s="634"/>
      <c r="J46" s="634"/>
      <c r="K46" s="634"/>
      <c r="L46" s="634"/>
      <c r="M46" s="910"/>
    </row>
    <row r="47" spans="1:13" s="4" customFormat="1" ht="12.75" customHeight="1" x14ac:dyDescent="0.2">
      <c r="A47" s="907">
        <v>37</v>
      </c>
      <c r="B47" s="645" t="s">
        <v>80</v>
      </c>
      <c r="C47" s="646" t="s">
        <v>81</v>
      </c>
      <c r="D47" s="634">
        <f t="shared" ref="D47:J47" si="4">D48+D49</f>
        <v>0</v>
      </c>
      <c r="E47" s="634">
        <f t="shared" si="4"/>
        <v>0</v>
      </c>
      <c r="F47" s="634">
        <f t="shared" si="4"/>
        <v>179</v>
      </c>
      <c r="G47" s="634">
        <f t="shared" si="4"/>
        <v>46</v>
      </c>
      <c r="H47" s="634">
        <f t="shared" si="4"/>
        <v>45</v>
      </c>
      <c r="I47" s="634">
        <f t="shared" si="4"/>
        <v>44</v>
      </c>
      <c r="J47" s="634">
        <f t="shared" si="4"/>
        <v>44</v>
      </c>
      <c r="K47" s="634"/>
      <c r="L47" s="634"/>
      <c r="M47" s="910"/>
    </row>
    <row r="48" spans="1:13" s="4" customFormat="1" ht="12.75" hidden="1" customHeight="1" x14ac:dyDescent="0.2">
      <c r="A48" s="907">
        <v>38</v>
      </c>
      <c r="B48" s="645" t="s">
        <v>80</v>
      </c>
      <c r="C48" s="646"/>
      <c r="D48" s="627"/>
      <c r="E48" s="627"/>
      <c r="F48" s="634">
        <f t="shared" si="3"/>
        <v>0</v>
      </c>
      <c r="G48" s="634"/>
      <c r="H48" s="634"/>
      <c r="I48" s="634"/>
      <c r="J48" s="634"/>
      <c r="K48" s="634"/>
      <c r="L48" s="634"/>
      <c r="M48" s="910"/>
    </row>
    <row r="49" spans="1:13" s="4" customFormat="1" ht="12.75" customHeight="1" x14ac:dyDescent="0.2">
      <c r="A49" s="907">
        <v>39</v>
      </c>
      <c r="B49" s="645" t="s">
        <v>82</v>
      </c>
      <c r="C49" s="646"/>
      <c r="D49" s="627">
        <v>0</v>
      </c>
      <c r="E49" s="627">
        <v>0</v>
      </c>
      <c r="F49" s="634">
        <f t="shared" si="3"/>
        <v>179</v>
      </c>
      <c r="G49" s="634">
        <v>46</v>
      </c>
      <c r="H49" s="634">
        <v>45</v>
      </c>
      <c r="I49" s="634">
        <v>44</v>
      </c>
      <c r="J49" s="634">
        <v>44</v>
      </c>
      <c r="K49" s="634"/>
      <c r="L49" s="634"/>
      <c r="M49" s="910"/>
    </row>
    <row r="50" spans="1:13" s="4" customFormat="1" ht="12.75" hidden="1" customHeight="1" x14ac:dyDescent="0.2">
      <c r="A50" s="907">
        <v>40</v>
      </c>
      <c r="B50" s="838" t="s">
        <v>83</v>
      </c>
      <c r="C50" s="653" t="s">
        <v>84</v>
      </c>
      <c r="D50" s="845"/>
      <c r="E50" s="845"/>
      <c r="F50" s="634">
        <f t="shared" si="3"/>
        <v>0</v>
      </c>
      <c r="G50" s="634">
        <f>G51+G52</f>
        <v>0</v>
      </c>
      <c r="H50" s="634">
        <f>H51+H52</f>
        <v>0</v>
      </c>
      <c r="I50" s="634">
        <f>I51+I52</f>
        <v>0</v>
      </c>
      <c r="J50" s="634">
        <f>J51+J52</f>
        <v>0</v>
      </c>
      <c r="K50" s="634"/>
      <c r="L50" s="634"/>
      <c r="M50" s="910"/>
    </row>
    <row r="51" spans="1:13" s="4" customFormat="1" ht="12.75" hidden="1" customHeight="1" x14ac:dyDescent="0.2">
      <c r="A51" s="907">
        <v>41</v>
      </c>
      <c r="B51" s="651" t="s">
        <v>232</v>
      </c>
      <c r="C51" s="646"/>
      <c r="D51" s="627"/>
      <c r="E51" s="627"/>
      <c r="F51" s="634">
        <f t="shared" si="3"/>
        <v>0</v>
      </c>
      <c r="G51" s="634"/>
      <c r="H51" s="634"/>
      <c r="I51" s="634"/>
      <c r="J51" s="634"/>
      <c r="K51" s="634"/>
      <c r="L51" s="634"/>
      <c r="M51" s="910"/>
    </row>
    <row r="52" spans="1:13" s="4" customFormat="1" ht="12.75" hidden="1" customHeight="1" x14ac:dyDescent="0.2">
      <c r="A52" s="907">
        <v>42</v>
      </c>
      <c r="B52" s="651" t="s">
        <v>85</v>
      </c>
      <c r="C52" s="646"/>
      <c r="D52" s="627"/>
      <c r="E52" s="627"/>
      <c r="F52" s="634">
        <f t="shared" si="3"/>
        <v>0</v>
      </c>
      <c r="G52" s="634"/>
      <c r="H52" s="634"/>
      <c r="I52" s="634"/>
      <c r="J52" s="634"/>
      <c r="K52" s="634"/>
      <c r="L52" s="634"/>
      <c r="M52" s="910"/>
    </row>
    <row r="53" spans="1:13" s="4" customFormat="1" ht="12.75" hidden="1" customHeight="1" x14ac:dyDescent="0.2">
      <c r="A53" s="907">
        <v>43</v>
      </c>
      <c r="B53" s="637" t="s">
        <v>86</v>
      </c>
      <c r="C53" s="653" t="s">
        <v>87</v>
      </c>
      <c r="D53" s="845"/>
      <c r="E53" s="845"/>
      <c r="F53" s="634">
        <f t="shared" si="3"/>
        <v>0</v>
      </c>
      <c r="G53" s="634">
        <f>G54+G55+G56</f>
        <v>0</v>
      </c>
      <c r="H53" s="634">
        <f>H54+H55+H56</f>
        <v>0</v>
      </c>
      <c r="I53" s="634">
        <f>I54+I55+I56</f>
        <v>0</v>
      </c>
      <c r="J53" s="634">
        <f>J54+J55+J56</f>
        <v>0</v>
      </c>
      <c r="K53" s="634"/>
      <c r="L53" s="634"/>
      <c r="M53" s="910"/>
    </row>
    <row r="54" spans="1:13" s="4" customFormat="1" ht="12.75" hidden="1" customHeight="1" x14ac:dyDescent="0.2">
      <c r="A54" s="907">
        <v>44</v>
      </c>
      <c r="B54" s="645" t="s">
        <v>88</v>
      </c>
      <c r="C54" s="646"/>
      <c r="D54" s="627"/>
      <c r="E54" s="627"/>
      <c r="F54" s="634">
        <f t="shared" si="3"/>
        <v>0</v>
      </c>
      <c r="G54" s="634"/>
      <c r="H54" s="634"/>
      <c r="I54" s="634"/>
      <c r="J54" s="634"/>
      <c r="K54" s="634"/>
      <c r="L54" s="634"/>
      <c r="M54" s="910"/>
    </row>
    <row r="55" spans="1:13" s="4" customFormat="1" ht="12.75" hidden="1" customHeight="1" x14ac:dyDescent="0.2">
      <c r="A55" s="907">
        <v>45</v>
      </c>
      <c r="B55" s="645" t="s">
        <v>89</v>
      </c>
      <c r="C55" s="646"/>
      <c r="D55" s="627"/>
      <c r="E55" s="627"/>
      <c r="F55" s="634">
        <f t="shared" si="3"/>
        <v>0</v>
      </c>
      <c r="G55" s="634"/>
      <c r="H55" s="634"/>
      <c r="I55" s="634"/>
      <c r="J55" s="634"/>
      <c r="K55" s="634"/>
      <c r="L55" s="634"/>
      <c r="M55" s="910"/>
    </row>
    <row r="56" spans="1:13" s="4" customFormat="1" ht="12.75" hidden="1" customHeight="1" x14ac:dyDescent="0.2">
      <c r="A56" s="907">
        <v>46</v>
      </c>
      <c r="B56" s="645" t="s">
        <v>233</v>
      </c>
      <c r="C56" s="646"/>
      <c r="D56" s="627"/>
      <c r="E56" s="627"/>
      <c r="F56" s="634">
        <f t="shared" si="3"/>
        <v>0</v>
      </c>
      <c r="G56" s="628"/>
      <c r="H56" s="628"/>
      <c r="I56" s="628"/>
      <c r="J56" s="628"/>
      <c r="K56" s="628"/>
      <c r="L56" s="628"/>
      <c r="M56" s="737"/>
    </row>
    <row r="57" spans="1:13" s="4" customFormat="1" ht="12.75" hidden="1" customHeight="1" x14ac:dyDescent="0.2">
      <c r="A57" s="907">
        <v>47</v>
      </c>
      <c r="B57" s="637" t="s">
        <v>91</v>
      </c>
      <c r="C57" s="658" t="s">
        <v>92</v>
      </c>
      <c r="D57" s="845"/>
      <c r="E57" s="845"/>
      <c r="F57" s="634">
        <f t="shared" si="3"/>
        <v>0</v>
      </c>
      <c r="G57" s="628"/>
      <c r="H57" s="628"/>
      <c r="I57" s="628"/>
      <c r="J57" s="628"/>
      <c r="K57" s="628"/>
      <c r="L57" s="628"/>
      <c r="M57" s="737"/>
    </row>
    <row r="58" spans="1:13" s="4" customFormat="1" ht="12.75" hidden="1" customHeight="1" x14ac:dyDescent="0.2">
      <c r="A58" s="907">
        <v>48</v>
      </c>
      <c r="B58" s="651" t="s">
        <v>93</v>
      </c>
      <c r="C58" s="653" t="s">
        <v>94</v>
      </c>
      <c r="D58" s="845"/>
      <c r="E58" s="845"/>
      <c r="F58" s="634">
        <f t="shared" si="3"/>
        <v>0</v>
      </c>
      <c r="G58" s="628"/>
      <c r="H58" s="628"/>
      <c r="I58" s="628"/>
      <c r="J58" s="628"/>
      <c r="K58" s="628"/>
      <c r="L58" s="628"/>
      <c r="M58" s="737"/>
    </row>
    <row r="59" spans="1:13" s="4" customFormat="1" ht="12.75" hidden="1" customHeight="1" x14ac:dyDescent="0.2">
      <c r="A59" s="907">
        <v>49</v>
      </c>
      <c r="B59" s="637" t="s">
        <v>95</v>
      </c>
      <c r="C59" s="653" t="s">
        <v>96</v>
      </c>
      <c r="D59" s="845"/>
      <c r="E59" s="845"/>
      <c r="F59" s="634">
        <f t="shared" si="3"/>
        <v>0</v>
      </c>
      <c r="G59" s="628">
        <f>G60+G61+G62</f>
        <v>0</v>
      </c>
      <c r="H59" s="628">
        <f>H60+H61+H62</f>
        <v>0</v>
      </c>
      <c r="I59" s="628">
        <f>I60+I61+I62</f>
        <v>0</v>
      </c>
      <c r="J59" s="628">
        <f>J60+J61+J62</f>
        <v>0</v>
      </c>
      <c r="K59" s="628"/>
      <c r="L59" s="628"/>
      <c r="M59" s="737"/>
    </row>
    <row r="60" spans="1:13" s="4" customFormat="1" ht="12.75" hidden="1" customHeight="1" x14ac:dyDescent="0.2">
      <c r="A60" s="907">
        <v>50</v>
      </c>
      <c r="B60" s="645" t="s">
        <v>97</v>
      </c>
      <c r="C60" s="646" t="s">
        <v>98</v>
      </c>
      <c r="D60" s="627"/>
      <c r="E60" s="627"/>
      <c r="F60" s="634">
        <f t="shared" si="3"/>
        <v>0</v>
      </c>
      <c r="G60" s="634"/>
      <c r="H60" s="634"/>
      <c r="I60" s="634"/>
      <c r="J60" s="634"/>
      <c r="K60" s="634"/>
      <c r="L60" s="634"/>
      <c r="M60" s="910"/>
    </row>
    <row r="61" spans="1:13" s="4" customFormat="1" ht="12.75" hidden="1" customHeight="1" x14ac:dyDescent="0.2">
      <c r="A61" s="907">
        <v>51</v>
      </c>
      <c r="B61" s="645" t="s">
        <v>99</v>
      </c>
      <c r="C61" s="646" t="s">
        <v>100</v>
      </c>
      <c r="D61" s="627"/>
      <c r="E61" s="627"/>
      <c r="F61" s="634">
        <f t="shared" si="3"/>
        <v>0</v>
      </c>
      <c r="G61" s="634"/>
      <c r="H61" s="634"/>
      <c r="I61" s="634"/>
      <c r="J61" s="634"/>
      <c r="K61" s="634"/>
      <c r="L61" s="634"/>
      <c r="M61" s="910"/>
    </row>
    <row r="62" spans="1:13" s="4" customFormat="1" ht="12.75" hidden="1" customHeight="1" x14ac:dyDescent="0.2">
      <c r="A62" s="907">
        <v>52</v>
      </c>
      <c r="B62" s="645" t="s">
        <v>101</v>
      </c>
      <c r="C62" s="646" t="s">
        <v>102</v>
      </c>
      <c r="D62" s="627"/>
      <c r="E62" s="627"/>
      <c r="F62" s="634">
        <f t="shared" si="3"/>
        <v>0</v>
      </c>
      <c r="G62" s="634"/>
      <c r="H62" s="634"/>
      <c r="I62" s="634"/>
      <c r="J62" s="634"/>
      <c r="K62" s="634"/>
      <c r="L62" s="634"/>
      <c r="M62" s="910"/>
    </row>
    <row r="63" spans="1:13" s="4" customFormat="1" ht="12.75" hidden="1" customHeight="1" x14ac:dyDescent="0.2">
      <c r="A63" s="907">
        <v>53</v>
      </c>
      <c r="B63" s="645" t="s">
        <v>234</v>
      </c>
      <c r="C63" s="646" t="s">
        <v>102</v>
      </c>
      <c r="D63" s="627"/>
      <c r="E63" s="627"/>
      <c r="F63" s="634">
        <f t="shared" si="3"/>
        <v>0</v>
      </c>
      <c r="G63" s="634"/>
      <c r="H63" s="634"/>
      <c r="I63" s="634"/>
      <c r="J63" s="634"/>
      <c r="K63" s="634"/>
      <c r="L63" s="634"/>
      <c r="M63" s="910"/>
    </row>
    <row r="64" spans="1:13" s="4" customFormat="1" ht="12.75" hidden="1" customHeight="1" x14ac:dyDescent="0.2">
      <c r="A64" s="907">
        <v>54</v>
      </c>
      <c r="B64" s="652" t="s">
        <v>104</v>
      </c>
      <c r="C64" s="653" t="s">
        <v>105</v>
      </c>
      <c r="D64" s="845"/>
      <c r="E64" s="845"/>
      <c r="F64" s="634">
        <f t="shared" si="3"/>
        <v>0</v>
      </c>
      <c r="G64" s="628">
        <f>G65+G66+G67</f>
        <v>0</v>
      </c>
      <c r="H64" s="628">
        <f>H65+H66+H67</f>
        <v>0</v>
      </c>
      <c r="I64" s="628">
        <f>I65+I66+I67</f>
        <v>0</v>
      </c>
      <c r="J64" s="628">
        <f>J65+J66+J67</f>
        <v>0</v>
      </c>
      <c r="K64" s="628"/>
      <c r="L64" s="628"/>
      <c r="M64" s="737"/>
    </row>
    <row r="65" spans="1:13" s="4" customFormat="1" ht="12.75" hidden="1" customHeight="1" x14ac:dyDescent="0.2">
      <c r="A65" s="907">
        <v>55</v>
      </c>
      <c r="B65" s="645" t="s">
        <v>106</v>
      </c>
      <c r="C65" s="646" t="s">
        <v>107</v>
      </c>
      <c r="D65" s="627"/>
      <c r="E65" s="627"/>
      <c r="F65" s="634">
        <f t="shared" si="3"/>
        <v>0</v>
      </c>
      <c r="G65" s="628"/>
      <c r="H65" s="628"/>
      <c r="I65" s="628"/>
      <c r="J65" s="628"/>
      <c r="K65" s="628"/>
      <c r="L65" s="628"/>
      <c r="M65" s="737"/>
    </row>
    <row r="66" spans="1:13" s="4" customFormat="1" ht="12.75" hidden="1" customHeight="1" x14ac:dyDescent="0.2">
      <c r="A66" s="907">
        <v>56</v>
      </c>
      <c r="B66" s="645" t="s">
        <v>108</v>
      </c>
      <c r="C66" s="646" t="s">
        <v>109</v>
      </c>
      <c r="D66" s="627"/>
      <c r="E66" s="627"/>
      <c r="F66" s="634">
        <f t="shared" si="3"/>
        <v>0</v>
      </c>
      <c r="G66" s="634"/>
      <c r="H66" s="634"/>
      <c r="I66" s="634"/>
      <c r="J66" s="634"/>
      <c r="K66" s="634"/>
      <c r="L66" s="634"/>
      <c r="M66" s="910"/>
    </row>
    <row r="67" spans="1:13" s="4" customFormat="1" ht="12.75" hidden="1" customHeight="1" x14ac:dyDescent="0.2">
      <c r="A67" s="907">
        <v>57</v>
      </c>
      <c r="B67" s="645" t="s">
        <v>110</v>
      </c>
      <c r="C67" s="646" t="s">
        <v>111</v>
      </c>
      <c r="D67" s="627"/>
      <c r="E67" s="627"/>
      <c r="F67" s="634">
        <f t="shared" si="3"/>
        <v>0</v>
      </c>
      <c r="G67" s="634"/>
      <c r="H67" s="634"/>
      <c r="I67" s="634"/>
      <c r="J67" s="634"/>
      <c r="K67" s="634"/>
      <c r="L67" s="634"/>
      <c r="M67" s="910"/>
    </row>
    <row r="68" spans="1:13" s="4" customFormat="1" ht="12.75" hidden="1" customHeight="1" x14ac:dyDescent="0.2">
      <c r="A68" s="907">
        <v>58</v>
      </c>
      <c r="B68" s="645" t="s">
        <v>235</v>
      </c>
      <c r="C68" s="646"/>
      <c r="D68" s="627"/>
      <c r="E68" s="627"/>
      <c r="F68" s="634">
        <f t="shared" si="3"/>
        <v>0</v>
      </c>
      <c r="G68" s="634"/>
      <c r="H68" s="634"/>
      <c r="I68" s="634"/>
      <c r="J68" s="634"/>
      <c r="K68" s="634"/>
      <c r="L68" s="634"/>
      <c r="M68" s="910"/>
    </row>
    <row r="69" spans="1:13" s="4" customFormat="1" ht="12.75" hidden="1" customHeight="1" x14ac:dyDescent="0.2">
      <c r="A69" s="907">
        <v>59</v>
      </c>
      <c r="B69" s="654" t="s">
        <v>113</v>
      </c>
      <c r="C69" s="653" t="s">
        <v>114</v>
      </c>
      <c r="D69" s="845"/>
      <c r="E69" s="845"/>
      <c r="F69" s="634">
        <f t="shared" si="3"/>
        <v>0</v>
      </c>
      <c r="G69" s="628">
        <f>G70+G71</f>
        <v>0</v>
      </c>
      <c r="H69" s="628">
        <f>H70+H71</f>
        <v>0</v>
      </c>
      <c r="I69" s="628">
        <f>I70+I71</f>
        <v>0</v>
      </c>
      <c r="J69" s="628">
        <f>J70+J71</f>
        <v>0</v>
      </c>
      <c r="K69" s="628"/>
      <c r="L69" s="628"/>
      <c r="M69" s="737"/>
    </row>
    <row r="70" spans="1:13" s="4" customFormat="1" ht="12.75" hidden="1" customHeight="1" x14ac:dyDescent="0.2">
      <c r="A70" s="907">
        <v>60</v>
      </c>
      <c r="B70" s="645" t="s">
        <v>115</v>
      </c>
      <c r="C70" s="646" t="s">
        <v>116</v>
      </c>
      <c r="D70" s="627"/>
      <c r="E70" s="627"/>
      <c r="F70" s="634">
        <f t="shared" si="3"/>
        <v>0</v>
      </c>
      <c r="G70" s="634"/>
      <c r="H70" s="634"/>
      <c r="I70" s="634"/>
      <c r="J70" s="634"/>
      <c r="K70" s="634"/>
      <c r="L70" s="634"/>
      <c r="M70" s="910"/>
    </row>
    <row r="71" spans="1:13" s="4" customFormat="1" ht="12.75" hidden="1" customHeight="1" x14ac:dyDescent="0.2">
      <c r="A71" s="907">
        <v>61</v>
      </c>
      <c r="B71" s="645" t="s">
        <v>117</v>
      </c>
      <c r="C71" s="646" t="s">
        <v>118</v>
      </c>
      <c r="D71" s="627"/>
      <c r="E71" s="627"/>
      <c r="F71" s="634">
        <f t="shared" si="3"/>
        <v>0</v>
      </c>
      <c r="G71" s="634"/>
      <c r="H71" s="634"/>
      <c r="I71" s="634"/>
      <c r="J71" s="634"/>
      <c r="K71" s="634"/>
      <c r="L71" s="634"/>
      <c r="M71" s="910"/>
    </row>
    <row r="72" spans="1:13" s="4" customFormat="1" ht="12.75" hidden="1" customHeight="1" x14ac:dyDescent="0.2">
      <c r="A72" s="907">
        <v>62</v>
      </c>
      <c r="B72" s="637" t="s">
        <v>119</v>
      </c>
      <c r="C72" s="653" t="s">
        <v>120</v>
      </c>
      <c r="D72" s="845"/>
      <c r="E72" s="845"/>
      <c r="F72" s="634">
        <f t="shared" si="3"/>
        <v>0</v>
      </c>
      <c r="G72" s="628"/>
      <c r="H72" s="628"/>
      <c r="I72" s="628"/>
      <c r="J72" s="628"/>
      <c r="K72" s="628"/>
      <c r="L72" s="628"/>
      <c r="M72" s="737"/>
    </row>
    <row r="73" spans="1:13" s="4" customFormat="1" ht="12.75" hidden="1" customHeight="1" x14ac:dyDescent="0.2">
      <c r="A73" s="907">
        <v>63</v>
      </c>
      <c r="B73" s="637" t="s">
        <v>121</v>
      </c>
      <c r="C73" s="653" t="s">
        <v>122</v>
      </c>
      <c r="D73" s="845"/>
      <c r="E73" s="845"/>
      <c r="F73" s="634">
        <f t="shared" si="3"/>
        <v>0</v>
      </c>
      <c r="G73" s="628"/>
      <c r="H73" s="628"/>
      <c r="I73" s="628"/>
      <c r="J73" s="628"/>
      <c r="K73" s="628"/>
      <c r="L73" s="628"/>
      <c r="M73" s="737"/>
    </row>
    <row r="74" spans="1:13" s="4" customFormat="1" ht="12.75" hidden="1" customHeight="1" x14ac:dyDescent="0.2">
      <c r="A74" s="907">
        <v>64</v>
      </c>
      <c r="B74" s="637" t="s">
        <v>123</v>
      </c>
      <c r="C74" s="653" t="s">
        <v>124</v>
      </c>
      <c r="D74" s="845"/>
      <c r="E74" s="845"/>
      <c r="F74" s="634">
        <f t="shared" si="3"/>
        <v>0</v>
      </c>
      <c r="G74" s="628"/>
      <c r="H74" s="628"/>
      <c r="I74" s="628"/>
      <c r="J74" s="628"/>
      <c r="K74" s="628"/>
      <c r="L74" s="628"/>
      <c r="M74" s="737"/>
    </row>
    <row r="75" spans="1:13" s="4" customFormat="1" ht="12.75" hidden="1" customHeight="1" x14ac:dyDescent="0.2">
      <c r="A75" s="907">
        <v>65</v>
      </c>
      <c r="B75" s="637" t="s">
        <v>125</v>
      </c>
      <c r="C75" s="653" t="s">
        <v>126</v>
      </c>
      <c r="D75" s="845"/>
      <c r="E75" s="845"/>
      <c r="F75" s="634">
        <f t="shared" si="3"/>
        <v>0</v>
      </c>
      <c r="G75" s="628"/>
      <c r="H75" s="628"/>
      <c r="I75" s="628"/>
      <c r="J75" s="628"/>
      <c r="K75" s="628"/>
      <c r="L75" s="628"/>
      <c r="M75" s="737"/>
    </row>
    <row r="76" spans="1:13" s="4" customFormat="1" ht="12.75" hidden="1" customHeight="1" x14ac:dyDescent="0.2">
      <c r="A76" s="907">
        <v>66</v>
      </c>
      <c r="B76" s="637" t="s">
        <v>127</v>
      </c>
      <c r="C76" s="653" t="s">
        <v>128</v>
      </c>
      <c r="D76" s="845">
        <f t="shared" ref="D76:J76" si="5">D77+D78</f>
        <v>0</v>
      </c>
      <c r="E76" s="845">
        <f t="shared" si="5"/>
        <v>0</v>
      </c>
      <c r="F76" s="634">
        <f t="shared" si="3"/>
        <v>0</v>
      </c>
      <c r="G76" s="845">
        <f t="shared" si="5"/>
        <v>0</v>
      </c>
      <c r="H76" s="845">
        <f t="shared" si="5"/>
        <v>0</v>
      </c>
      <c r="I76" s="845">
        <f t="shared" si="5"/>
        <v>0</v>
      </c>
      <c r="J76" s="845">
        <f t="shared" si="5"/>
        <v>0</v>
      </c>
      <c r="K76" s="628"/>
      <c r="L76" s="628"/>
      <c r="M76" s="737"/>
    </row>
    <row r="77" spans="1:13" s="4" customFormat="1" ht="12.75" hidden="1" customHeight="1" x14ac:dyDescent="0.2">
      <c r="A77" s="907">
        <v>67</v>
      </c>
      <c r="B77" s="645" t="s">
        <v>129</v>
      </c>
      <c r="C77" s="646" t="s">
        <v>130</v>
      </c>
      <c r="D77" s="845"/>
      <c r="E77" s="845"/>
      <c r="F77" s="634">
        <f t="shared" si="3"/>
        <v>0</v>
      </c>
      <c r="G77" s="628"/>
      <c r="H77" s="628"/>
      <c r="I77" s="628"/>
      <c r="J77" s="628"/>
      <c r="K77" s="628"/>
      <c r="L77" s="628"/>
      <c r="M77" s="737"/>
    </row>
    <row r="78" spans="1:13" s="4" customFormat="1" ht="12.75" hidden="1" customHeight="1" x14ac:dyDescent="0.2">
      <c r="A78" s="907">
        <v>68</v>
      </c>
      <c r="B78" s="645" t="s">
        <v>131</v>
      </c>
      <c r="C78" s="653" t="s">
        <v>132</v>
      </c>
      <c r="D78" s="845">
        <f>D79</f>
        <v>0</v>
      </c>
      <c r="E78" s="845">
        <f>E79</f>
        <v>0</v>
      </c>
      <c r="F78" s="634">
        <f t="shared" si="3"/>
        <v>0</v>
      </c>
      <c r="G78" s="628">
        <f>G79+G80+G81+G82+G83</f>
        <v>0</v>
      </c>
      <c r="H78" s="628">
        <f>H79+H80+H81+H82+H83</f>
        <v>0</v>
      </c>
      <c r="I78" s="628">
        <f>I79+I80+I81+I82+I83</f>
        <v>0</v>
      </c>
      <c r="J78" s="628">
        <f>J79+J80+J81+J82+J83</f>
        <v>0</v>
      </c>
      <c r="K78" s="634"/>
      <c r="L78" s="634"/>
      <c r="M78" s="910"/>
    </row>
    <row r="79" spans="1:13" s="4" customFormat="1" ht="12.75" hidden="1" customHeight="1" x14ac:dyDescent="0.2">
      <c r="A79" s="911">
        <v>69</v>
      </c>
      <c r="B79" s="848" t="s">
        <v>236</v>
      </c>
      <c r="C79" s="849"/>
      <c r="D79" s="655">
        <v>0</v>
      </c>
      <c r="E79" s="655">
        <v>0</v>
      </c>
      <c r="F79" s="850">
        <f t="shared" si="3"/>
        <v>0</v>
      </c>
      <c r="G79" s="850">
        <v>0</v>
      </c>
      <c r="H79" s="850">
        <v>0</v>
      </c>
      <c r="I79" s="850">
        <v>0</v>
      </c>
      <c r="J79" s="850">
        <v>0</v>
      </c>
      <c r="K79" s="634"/>
      <c r="L79" s="634"/>
      <c r="M79" s="910"/>
    </row>
    <row r="80" spans="1:13" s="4" customFormat="1" ht="12.75" hidden="1" customHeight="1" x14ac:dyDescent="0.2">
      <c r="A80" s="907">
        <v>70</v>
      </c>
      <c r="B80" s="645" t="s">
        <v>237</v>
      </c>
      <c r="C80" s="646"/>
      <c r="D80" s="627"/>
      <c r="E80" s="627"/>
      <c r="F80" s="634">
        <f t="shared" si="3"/>
        <v>0</v>
      </c>
      <c r="G80" s="634"/>
      <c r="H80" s="634"/>
      <c r="I80" s="634"/>
      <c r="J80" s="634"/>
      <c r="K80" s="634"/>
      <c r="L80" s="634"/>
      <c r="M80" s="910"/>
    </row>
    <row r="81" spans="1:14" s="4" customFormat="1" ht="12.75" hidden="1" customHeight="1" x14ac:dyDescent="0.2">
      <c r="A81" s="907">
        <v>71</v>
      </c>
      <c r="B81" s="645" t="s">
        <v>238</v>
      </c>
      <c r="C81" s="646"/>
      <c r="D81" s="627"/>
      <c r="E81" s="627"/>
      <c r="F81" s="634">
        <f t="shared" si="3"/>
        <v>0</v>
      </c>
      <c r="G81" s="634"/>
      <c r="H81" s="634"/>
      <c r="I81" s="634"/>
      <c r="J81" s="634"/>
      <c r="K81" s="634"/>
      <c r="L81" s="634"/>
      <c r="M81" s="910"/>
    </row>
    <row r="82" spans="1:14" s="4" customFormat="1" ht="12.75" hidden="1" customHeight="1" x14ac:dyDescent="0.2">
      <c r="A82" s="907">
        <v>72</v>
      </c>
      <c r="B82" s="645" t="s">
        <v>134</v>
      </c>
      <c r="C82" s="646"/>
      <c r="D82" s="627"/>
      <c r="E82" s="627"/>
      <c r="F82" s="634">
        <f t="shared" si="3"/>
        <v>0</v>
      </c>
      <c r="G82" s="634"/>
      <c r="H82" s="634"/>
      <c r="I82" s="634"/>
      <c r="J82" s="634"/>
      <c r="K82" s="634"/>
      <c r="L82" s="634"/>
      <c r="M82" s="910"/>
    </row>
    <row r="83" spans="1:14" s="4" customFormat="1" ht="12.75" hidden="1" customHeight="1" x14ac:dyDescent="0.2">
      <c r="A83" s="907">
        <v>73</v>
      </c>
      <c r="B83" s="645" t="s">
        <v>135</v>
      </c>
      <c r="C83" s="646"/>
      <c r="D83" s="627">
        <v>0</v>
      </c>
      <c r="E83" s="627">
        <v>0</v>
      </c>
      <c r="F83" s="634">
        <f t="shared" si="3"/>
        <v>0</v>
      </c>
      <c r="G83" s="634">
        <v>0</v>
      </c>
      <c r="H83" s="634">
        <v>0</v>
      </c>
      <c r="I83" s="634">
        <v>0</v>
      </c>
      <c r="J83" s="634">
        <v>0</v>
      </c>
      <c r="K83" s="634"/>
      <c r="L83" s="634"/>
      <c r="M83" s="910"/>
    </row>
    <row r="84" spans="1:14" s="4" customFormat="1" ht="12.75" hidden="1" customHeight="1" x14ac:dyDescent="0.2">
      <c r="A84" s="907">
        <v>74</v>
      </c>
      <c r="B84" s="645" t="s">
        <v>239</v>
      </c>
      <c r="C84" s="646"/>
      <c r="D84" s="627"/>
      <c r="E84" s="627"/>
      <c r="F84" s="634">
        <f t="shared" si="3"/>
        <v>0</v>
      </c>
      <c r="G84" s="634"/>
      <c r="H84" s="634"/>
      <c r="I84" s="634"/>
      <c r="J84" s="634"/>
      <c r="K84" s="634"/>
      <c r="L84" s="634"/>
      <c r="M84" s="910"/>
    </row>
    <row r="85" spans="1:14" s="4" customFormat="1" ht="12.75" hidden="1" customHeight="1" x14ac:dyDescent="0.2">
      <c r="A85" s="907">
        <v>75</v>
      </c>
      <c r="B85" s="645" t="s">
        <v>136</v>
      </c>
      <c r="C85" s="646"/>
      <c r="D85" s="627"/>
      <c r="E85" s="627"/>
      <c r="F85" s="634">
        <f t="shared" si="3"/>
        <v>0</v>
      </c>
      <c r="G85" s="634"/>
      <c r="H85" s="634"/>
      <c r="I85" s="634"/>
      <c r="J85" s="634"/>
      <c r="K85" s="634"/>
      <c r="L85" s="634"/>
      <c r="M85" s="910"/>
    </row>
    <row r="86" spans="1:14" s="4" customFormat="1" ht="12.75" hidden="1" customHeight="1" x14ac:dyDescent="0.2">
      <c r="A86" s="907">
        <v>76</v>
      </c>
      <c r="B86" s="645" t="s">
        <v>137</v>
      </c>
      <c r="C86" s="646"/>
      <c r="D86" s="627"/>
      <c r="E86" s="627"/>
      <c r="F86" s="634">
        <f t="shared" si="3"/>
        <v>0</v>
      </c>
      <c r="G86" s="634"/>
      <c r="H86" s="634"/>
      <c r="I86" s="634"/>
      <c r="J86" s="634"/>
      <c r="K86" s="634"/>
      <c r="L86" s="634"/>
      <c r="M86" s="910"/>
    </row>
    <row r="87" spans="1:14" s="4" customFormat="1" ht="12.75" hidden="1" customHeight="1" x14ac:dyDescent="0.2">
      <c r="A87" s="907">
        <v>77</v>
      </c>
      <c r="B87" s="645" t="s">
        <v>138</v>
      </c>
      <c r="C87" s="646"/>
      <c r="D87" s="627"/>
      <c r="E87" s="627"/>
      <c r="F87" s="634">
        <f t="shared" si="3"/>
        <v>0</v>
      </c>
      <c r="G87" s="634"/>
      <c r="H87" s="634"/>
      <c r="I87" s="634"/>
      <c r="J87" s="634"/>
      <c r="K87" s="634"/>
      <c r="L87" s="634"/>
      <c r="M87" s="910"/>
    </row>
    <row r="88" spans="1:14" s="4" customFormat="1" ht="25.5" hidden="1" customHeight="1" x14ac:dyDescent="0.2">
      <c r="A88" s="907">
        <v>78</v>
      </c>
      <c r="B88" s="851" t="s">
        <v>140</v>
      </c>
      <c r="C88" s="653" t="s">
        <v>141</v>
      </c>
      <c r="D88" s="845"/>
      <c r="E88" s="845"/>
      <c r="F88" s="634">
        <f t="shared" si="3"/>
        <v>0</v>
      </c>
      <c r="G88" s="628"/>
      <c r="H88" s="628"/>
      <c r="I88" s="628"/>
      <c r="J88" s="628"/>
      <c r="K88" s="628"/>
      <c r="L88" s="628"/>
      <c r="M88" s="737"/>
    </row>
    <row r="89" spans="1:14" s="4" customFormat="1" ht="38.25" hidden="1" customHeight="1" x14ac:dyDescent="0.2">
      <c r="A89" s="907">
        <v>79</v>
      </c>
      <c r="B89" s="851" t="s">
        <v>142</v>
      </c>
      <c r="C89" s="852" t="s">
        <v>143</v>
      </c>
      <c r="D89" s="772"/>
      <c r="E89" s="772"/>
      <c r="F89" s="634">
        <f t="shared" si="3"/>
        <v>0</v>
      </c>
      <c r="G89" s="628"/>
      <c r="H89" s="628"/>
      <c r="I89" s="628"/>
      <c r="J89" s="628"/>
      <c r="K89" s="628"/>
      <c r="L89" s="628"/>
      <c r="M89" s="737"/>
    </row>
    <row r="90" spans="1:14" s="4" customFormat="1" ht="13.5" hidden="1" customHeight="1" x14ac:dyDescent="0.2">
      <c r="A90" s="907">
        <v>80</v>
      </c>
      <c r="B90" s="645" t="s">
        <v>144</v>
      </c>
      <c r="C90" s="646" t="s">
        <v>145</v>
      </c>
      <c r="D90" s="627"/>
      <c r="E90" s="627"/>
      <c r="F90" s="634">
        <f t="shared" si="3"/>
        <v>0</v>
      </c>
      <c r="G90" s="634"/>
      <c r="H90" s="634"/>
      <c r="I90" s="634"/>
      <c r="J90" s="634"/>
      <c r="K90" s="634"/>
      <c r="L90" s="634"/>
      <c r="M90" s="910"/>
    </row>
    <row r="91" spans="1:14" s="4" customFormat="1" ht="12.75" hidden="1" customHeight="1" x14ac:dyDescent="0.2">
      <c r="A91" s="907">
        <v>81</v>
      </c>
      <c r="B91" s="637" t="s">
        <v>146</v>
      </c>
      <c r="C91" s="653" t="s">
        <v>147</v>
      </c>
      <c r="D91" s="845"/>
      <c r="E91" s="845"/>
      <c r="F91" s="634">
        <f t="shared" si="3"/>
        <v>0</v>
      </c>
      <c r="G91" s="628"/>
      <c r="H91" s="628"/>
      <c r="I91" s="628"/>
      <c r="J91" s="628"/>
      <c r="K91" s="628"/>
      <c r="L91" s="628"/>
      <c r="M91" s="737"/>
    </row>
    <row r="92" spans="1:14" s="4" customFormat="1" ht="12.75" customHeight="1" x14ac:dyDescent="0.2">
      <c r="A92" s="907">
        <v>82</v>
      </c>
      <c r="B92" s="637" t="s">
        <v>148</v>
      </c>
      <c r="C92" s="653" t="s">
        <v>149</v>
      </c>
      <c r="D92" s="845">
        <f t="shared" ref="D92:J92" si="6">D93</f>
        <v>0</v>
      </c>
      <c r="E92" s="845">
        <f t="shared" si="6"/>
        <v>0</v>
      </c>
      <c r="F92" s="628">
        <f t="shared" si="3"/>
        <v>53982</v>
      </c>
      <c r="G92" s="628">
        <f t="shared" si="6"/>
        <v>17465</v>
      </c>
      <c r="H92" s="628">
        <f t="shared" si="6"/>
        <v>18286</v>
      </c>
      <c r="I92" s="628">
        <f t="shared" si="6"/>
        <v>17961</v>
      </c>
      <c r="J92" s="628">
        <f t="shared" si="6"/>
        <v>270</v>
      </c>
      <c r="K92" s="628">
        <f>F92*103.26%</f>
        <v>55741.813199999997</v>
      </c>
      <c r="L92" s="628">
        <f>F92*106.3%</f>
        <v>57382.865999999995</v>
      </c>
      <c r="M92" s="737">
        <f>F92*109.438%</f>
        <v>59076.821160000007</v>
      </c>
    </row>
    <row r="93" spans="1:14" s="4" customFormat="1" ht="12.75" customHeight="1" x14ac:dyDescent="0.2">
      <c r="A93" s="907">
        <v>83</v>
      </c>
      <c r="B93" s="853" t="s">
        <v>150</v>
      </c>
      <c r="C93" s="653" t="s">
        <v>151</v>
      </c>
      <c r="D93" s="845">
        <f t="shared" ref="D93:J93" si="7">D94+D107</f>
        <v>0</v>
      </c>
      <c r="E93" s="845">
        <f t="shared" si="7"/>
        <v>0</v>
      </c>
      <c r="F93" s="628">
        <f t="shared" si="3"/>
        <v>53982</v>
      </c>
      <c r="G93" s="628">
        <f t="shared" si="7"/>
        <v>17465</v>
      </c>
      <c r="H93" s="628">
        <f t="shared" si="7"/>
        <v>18286</v>
      </c>
      <c r="I93" s="628">
        <f t="shared" si="7"/>
        <v>17961</v>
      </c>
      <c r="J93" s="628">
        <f t="shared" si="7"/>
        <v>270</v>
      </c>
      <c r="K93" s="628"/>
      <c r="L93" s="628"/>
      <c r="M93" s="737"/>
    </row>
    <row r="94" spans="1:14" s="4" customFormat="1" ht="12.75" customHeight="1" x14ac:dyDescent="0.2">
      <c r="A94" s="907">
        <v>84</v>
      </c>
      <c r="B94" s="853" t="s">
        <v>152</v>
      </c>
      <c r="C94" s="653" t="s">
        <v>153</v>
      </c>
      <c r="D94" s="845">
        <f>D95+D96</f>
        <v>0</v>
      </c>
      <c r="E94" s="845">
        <f>E95+E96</f>
        <v>0</v>
      </c>
      <c r="F94" s="938">
        <f t="shared" si="3"/>
        <v>52916</v>
      </c>
      <c r="G94" s="628">
        <f>G95+G96+G97+G98+G100+G101</f>
        <v>17194</v>
      </c>
      <c r="H94" s="628">
        <f>H95+H96+H97+H98+H100+H101</f>
        <v>18021</v>
      </c>
      <c r="I94" s="628">
        <f>I95+I96+I97+I98+I100+I101</f>
        <v>17701</v>
      </c>
      <c r="J94" s="628">
        <f>J95+J96+J97+J98+J100+J101</f>
        <v>0</v>
      </c>
      <c r="K94" s="628"/>
      <c r="L94" s="628"/>
      <c r="M94" s="737"/>
    </row>
    <row r="95" spans="1:14" s="4" customFormat="1" ht="12.75" customHeight="1" x14ac:dyDescent="0.2">
      <c r="A95" s="907">
        <v>85</v>
      </c>
      <c r="B95" s="854" t="s">
        <v>240</v>
      </c>
      <c r="C95" s="646"/>
      <c r="D95" s="627">
        <v>0</v>
      </c>
      <c r="E95" s="627">
        <v>0</v>
      </c>
      <c r="F95" s="634">
        <f t="shared" si="3"/>
        <v>51809</v>
      </c>
      <c r="G95" s="634">
        <f>14492+2554</f>
        <v>17046</v>
      </c>
      <c r="H95" s="634">
        <f>15079+2553</f>
        <v>17632</v>
      </c>
      <c r="I95" s="634">
        <f>15651+2553-1073</f>
        <v>17131</v>
      </c>
      <c r="J95" s="634">
        <f>16238+2553-18791</f>
        <v>0</v>
      </c>
      <c r="K95" s="628"/>
      <c r="L95" s="628"/>
      <c r="M95" s="737"/>
      <c r="N95" s="4" t="s">
        <v>241</v>
      </c>
    </row>
    <row r="96" spans="1:14" s="4" customFormat="1" ht="12.75" customHeight="1" x14ac:dyDescent="0.2">
      <c r="A96" s="1032">
        <v>86</v>
      </c>
      <c r="B96" s="856" t="s">
        <v>242</v>
      </c>
      <c r="C96" s="835"/>
      <c r="D96" s="855">
        <v>0</v>
      </c>
      <c r="E96" s="855">
        <v>0</v>
      </c>
      <c r="F96" s="634">
        <f t="shared" si="3"/>
        <v>1107</v>
      </c>
      <c r="G96" s="833">
        <v>148</v>
      </c>
      <c r="H96" s="833">
        <v>389</v>
      </c>
      <c r="I96" s="833">
        <v>570</v>
      </c>
      <c r="J96" s="833">
        <f>301-301</f>
        <v>0</v>
      </c>
      <c r="K96" s="628"/>
      <c r="L96" s="628"/>
      <c r="M96" s="737"/>
    </row>
    <row r="97" spans="1:13" s="4" customFormat="1" ht="12.75" hidden="1" customHeight="1" x14ac:dyDescent="0.2">
      <c r="A97" s="907">
        <v>87</v>
      </c>
      <c r="B97" s="854" t="s">
        <v>156</v>
      </c>
      <c r="C97" s="646"/>
      <c r="D97" s="627"/>
      <c r="E97" s="627"/>
      <c r="F97" s="634">
        <f t="shared" ref="F97:F108" si="8">G97+H97+I97+J97</f>
        <v>0</v>
      </c>
      <c r="G97" s="628"/>
      <c r="H97" s="628"/>
      <c r="I97" s="628"/>
      <c r="J97" s="628"/>
      <c r="K97" s="628"/>
      <c r="L97" s="628"/>
      <c r="M97" s="737"/>
    </row>
    <row r="98" spans="1:13" s="4" customFormat="1" ht="12.75" hidden="1" customHeight="1" x14ac:dyDescent="0.2">
      <c r="A98" s="907">
        <v>88</v>
      </c>
      <c r="B98" s="854" t="s">
        <v>157</v>
      </c>
      <c r="C98" s="646"/>
      <c r="D98" s="627"/>
      <c r="E98" s="627"/>
      <c r="F98" s="634">
        <f t="shared" si="8"/>
        <v>0</v>
      </c>
      <c r="G98" s="628"/>
      <c r="H98" s="628"/>
      <c r="I98" s="628"/>
      <c r="J98" s="628"/>
      <c r="K98" s="628"/>
      <c r="L98" s="628"/>
      <c r="M98" s="737"/>
    </row>
    <row r="99" spans="1:13" s="4" customFormat="1" ht="12.75" hidden="1" customHeight="1" x14ac:dyDescent="0.2">
      <c r="A99" s="907">
        <v>89</v>
      </c>
      <c r="B99" s="854" t="s">
        <v>158</v>
      </c>
      <c r="C99" s="646"/>
      <c r="D99" s="627"/>
      <c r="E99" s="627"/>
      <c r="F99" s="634">
        <f t="shared" si="8"/>
        <v>0</v>
      </c>
      <c r="G99" s="628"/>
      <c r="H99" s="628"/>
      <c r="I99" s="628"/>
      <c r="J99" s="628"/>
      <c r="K99" s="628"/>
      <c r="L99" s="628"/>
      <c r="M99" s="737"/>
    </row>
    <row r="100" spans="1:13" s="4" customFormat="1" ht="12.75" hidden="1" customHeight="1" x14ac:dyDescent="0.2">
      <c r="A100" s="907">
        <v>90</v>
      </c>
      <c r="B100" s="854" t="s">
        <v>159</v>
      </c>
      <c r="C100" s="646"/>
      <c r="D100" s="627"/>
      <c r="E100" s="627"/>
      <c r="F100" s="634">
        <f t="shared" si="8"/>
        <v>0</v>
      </c>
      <c r="G100" s="628"/>
      <c r="H100" s="628"/>
      <c r="I100" s="628"/>
      <c r="J100" s="628"/>
      <c r="K100" s="628"/>
      <c r="L100" s="628"/>
      <c r="M100" s="737"/>
    </row>
    <row r="101" spans="1:13" s="4" customFormat="1" ht="12.75" hidden="1" customHeight="1" x14ac:dyDescent="0.2">
      <c r="A101" s="907">
        <v>91</v>
      </c>
      <c r="B101" s="854" t="s">
        <v>160</v>
      </c>
      <c r="C101" s="646"/>
      <c r="D101" s="627"/>
      <c r="E101" s="627"/>
      <c r="F101" s="634">
        <f t="shared" si="8"/>
        <v>0</v>
      </c>
      <c r="G101" s="628"/>
      <c r="H101" s="628"/>
      <c r="I101" s="628"/>
      <c r="J101" s="628"/>
      <c r="K101" s="628"/>
      <c r="L101" s="628"/>
      <c r="M101" s="737"/>
    </row>
    <row r="102" spans="1:13" s="4" customFormat="1" ht="12.75" hidden="1" customHeight="1" x14ac:dyDescent="0.2">
      <c r="A102" s="907">
        <v>92</v>
      </c>
      <c r="B102" s="854" t="s">
        <v>161</v>
      </c>
      <c r="C102" s="646"/>
      <c r="D102" s="627"/>
      <c r="E102" s="627"/>
      <c r="F102" s="634">
        <f t="shared" si="8"/>
        <v>0</v>
      </c>
      <c r="G102" s="628"/>
      <c r="H102" s="628"/>
      <c r="I102" s="628"/>
      <c r="J102" s="628"/>
      <c r="K102" s="628"/>
      <c r="L102" s="628"/>
      <c r="M102" s="737"/>
    </row>
    <row r="103" spans="1:13" s="4" customFormat="1" ht="12.75" hidden="1" customHeight="1" x14ac:dyDescent="0.2">
      <c r="A103" s="907">
        <v>93</v>
      </c>
      <c r="B103" s="640" t="s">
        <v>162</v>
      </c>
      <c r="C103" s="646"/>
      <c r="D103" s="627"/>
      <c r="E103" s="627"/>
      <c r="F103" s="634">
        <f t="shared" si="8"/>
        <v>0</v>
      </c>
      <c r="G103" s="628"/>
      <c r="H103" s="628"/>
      <c r="I103" s="628"/>
      <c r="J103" s="628"/>
      <c r="K103" s="628"/>
      <c r="L103" s="628"/>
      <c r="M103" s="737"/>
    </row>
    <row r="104" spans="1:13" s="4" customFormat="1" ht="12.75" hidden="1" customHeight="1" x14ac:dyDescent="0.2">
      <c r="A104" s="907">
        <v>94</v>
      </c>
      <c r="B104" s="854" t="s">
        <v>163</v>
      </c>
      <c r="C104" s="646"/>
      <c r="D104" s="627"/>
      <c r="E104" s="627"/>
      <c r="F104" s="634">
        <f t="shared" si="8"/>
        <v>0</v>
      </c>
      <c r="G104" s="628"/>
      <c r="H104" s="628"/>
      <c r="I104" s="628"/>
      <c r="J104" s="628"/>
      <c r="K104" s="628"/>
      <c r="L104" s="628"/>
      <c r="M104" s="737"/>
    </row>
    <row r="105" spans="1:13" s="4" customFormat="1" ht="12.75" hidden="1" customHeight="1" x14ac:dyDescent="0.2">
      <c r="A105" s="907">
        <v>95</v>
      </c>
      <c r="B105" s="854" t="s">
        <v>164</v>
      </c>
      <c r="C105" s="646"/>
      <c r="D105" s="627"/>
      <c r="E105" s="627"/>
      <c r="F105" s="634">
        <f t="shared" si="8"/>
        <v>0</v>
      </c>
      <c r="G105" s="628"/>
      <c r="H105" s="628"/>
      <c r="I105" s="628"/>
      <c r="J105" s="628"/>
      <c r="K105" s="628"/>
      <c r="L105" s="628"/>
      <c r="M105" s="737"/>
    </row>
    <row r="106" spans="1:13" s="4" customFormat="1" ht="12.75" hidden="1" customHeight="1" x14ac:dyDescent="0.2">
      <c r="A106" s="907">
        <v>96</v>
      </c>
      <c r="B106" s="854"/>
      <c r="C106" s="646"/>
      <c r="D106" s="627"/>
      <c r="E106" s="627"/>
      <c r="F106" s="634">
        <f t="shared" si="8"/>
        <v>0</v>
      </c>
      <c r="G106" s="628"/>
      <c r="H106" s="628"/>
      <c r="I106" s="628"/>
      <c r="J106" s="628"/>
      <c r="K106" s="628"/>
      <c r="L106" s="628"/>
      <c r="M106" s="737"/>
    </row>
    <row r="107" spans="1:13" s="4" customFormat="1" ht="12.75" customHeight="1" x14ac:dyDescent="0.2">
      <c r="A107" s="907">
        <v>97</v>
      </c>
      <c r="B107" s="853" t="s">
        <v>165</v>
      </c>
      <c r="C107" s="653" t="s">
        <v>166</v>
      </c>
      <c r="D107" s="845">
        <f>D108</f>
        <v>0</v>
      </c>
      <c r="E107" s="845">
        <f>E108</f>
        <v>0</v>
      </c>
      <c r="F107" s="634">
        <f t="shared" si="8"/>
        <v>1066</v>
      </c>
      <c r="G107" s="628">
        <f>G108+G109+G110+G111</f>
        <v>271</v>
      </c>
      <c r="H107" s="628">
        <f>H108+H109+H110+H111</f>
        <v>265</v>
      </c>
      <c r="I107" s="628">
        <f>I108+I109+I110+I111</f>
        <v>260</v>
      </c>
      <c r="J107" s="628">
        <f>J108+J109+J110+J111</f>
        <v>270</v>
      </c>
      <c r="K107" s="628"/>
      <c r="L107" s="628"/>
      <c r="M107" s="737"/>
    </row>
    <row r="108" spans="1:13" s="4" customFormat="1" ht="13.5" thickBot="1" x14ac:dyDescent="0.25">
      <c r="A108" s="912">
        <v>98</v>
      </c>
      <c r="B108" s="1033" t="s">
        <v>167</v>
      </c>
      <c r="C108" s="790"/>
      <c r="D108" s="1034">
        <v>0</v>
      </c>
      <c r="E108" s="1034">
        <v>0</v>
      </c>
      <c r="F108" s="792">
        <f t="shared" si="8"/>
        <v>1066</v>
      </c>
      <c r="G108" s="792">
        <v>271</v>
      </c>
      <c r="H108" s="792">
        <v>265</v>
      </c>
      <c r="I108" s="792">
        <v>260</v>
      </c>
      <c r="J108" s="792">
        <v>270</v>
      </c>
      <c r="K108" s="1035"/>
      <c r="L108" s="1035"/>
      <c r="M108" s="1036"/>
    </row>
    <row r="109" spans="1:13" s="4" customFormat="1" hidden="1" x14ac:dyDescent="0.2">
      <c r="A109" s="34">
        <v>99</v>
      </c>
      <c r="B109" s="125" t="s">
        <v>168</v>
      </c>
      <c r="C109" s="86"/>
      <c r="D109" s="87"/>
      <c r="E109" s="87"/>
      <c r="F109" s="97"/>
      <c r="G109" s="97"/>
      <c r="H109" s="97"/>
      <c r="I109" s="97"/>
      <c r="J109" s="97"/>
      <c r="K109" s="178"/>
      <c r="L109" s="37">
        <f>K109*102.4/100</f>
        <v>0</v>
      </c>
      <c r="M109" s="99"/>
    </row>
    <row r="110" spans="1:13" s="4" customFormat="1" hidden="1" x14ac:dyDescent="0.2">
      <c r="A110" s="47">
        <v>100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43">
        <f>K110*102.4/100</f>
        <v>0</v>
      </c>
      <c r="M110" s="105"/>
    </row>
    <row r="111" spans="1:13" s="4" customFormat="1" hidden="1" x14ac:dyDescent="0.2">
      <c r="A111" s="47">
        <v>101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43">
        <f>K111*102.4/100</f>
        <v>0</v>
      </c>
      <c r="M111" s="105"/>
    </row>
    <row r="112" spans="1:13" s="4" customFormat="1" ht="25.5" hidden="1" x14ac:dyDescent="0.2">
      <c r="A112" s="47">
        <v>102</v>
      </c>
      <c r="B112" s="126" t="s">
        <v>171</v>
      </c>
      <c r="C112" s="101" t="s">
        <v>172</v>
      </c>
      <c r="D112" s="102"/>
      <c r="E112" s="102"/>
      <c r="F112" s="103">
        <f>F117</f>
        <v>0</v>
      </c>
      <c r="G112" s="103">
        <f>G117</f>
        <v>0</v>
      </c>
      <c r="H112" s="103">
        <f>H117</f>
        <v>0</v>
      </c>
      <c r="I112" s="103">
        <f>I117</f>
        <v>0</v>
      </c>
      <c r="J112" s="103">
        <f>J117</f>
        <v>0</v>
      </c>
      <c r="K112" s="104"/>
      <c r="L112" s="43">
        <f>K112*102.4/100</f>
        <v>0</v>
      </c>
      <c r="M112" s="105"/>
    </row>
    <row r="113" spans="1:13" s="4" customFormat="1" hidden="1" x14ac:dyDescent="0.2">
      <c r="A113" s="47">
        <v>103</v>
      </c>
      <c r="B113" s="4" t="s">
        <v>127</v>
      </c>
      <c r="C113" s="56" t="s">
        <v>173</v>
      </c>
      <c r="D113" s="114"/>
      <c r="E113" s="114"/>
      <c r="F113" s="103"/>
      <c r="G113" s="103"/>
      <c r="H113" s="103"/>
      <c r="I113" s="103"/>
      <c r="J113" s="103"/>
      <c r="K113" s="118"/>
      <c r="L113" s="43">
        <f>K113*102.4/100</f>
        <v>0</v>
      </c>
      <c r="M113" s="105"/>
    </row>
    <row r="114" spans="1:13" s="4" customFormat="1" hidden="1" x14ac:dyDescent="0.2">
      <c r="A114" s="47">
        <v>104</v>
      </c>
      <c r="B114" s="73" t="s">
        <v>174</v>
      </c>
      <c r="C114" s="56"/>
      <c r="D114" s="114"/>
      <c r="E114" s="114"/>
      <c r="F114" s="103"/>
      <c r="G114" s="103"/>
      <c r="H114" s="103"/>
      <c r="I114" s="103"/>
      <c r="J114" s="103"/>
      <c r="K114" s="118"/>
      <c r="L114" s="43"/>
      <c r="M114" s="105"/>
    </row>
    <row r="115" spans="1:13" s="4" customFormat="1" hidden="1" x14ac:dyDescent="0.2">
      <c r="A115" s="47">
        <v>105</v>
      </c>
      <c r="B115" s="73" t="s">
        <v>175</v>
      </c>
      <c r="C115" s="56"/>
      <c r="D115" s="114"/>
      <c r="E115" s="114"/>
      <c r="F115" s="103"/>
      <c r="G115" s="103"/>
      <c r="H115" s="103"/>
      <c r="I115" s="103"/>
      <c r="J115" s="103"/>
      <c r="K115" s="118"/>
      <c r="L115" s="43"/>
      <c r="M115" s="105"/>
    </row>
    <row r="116" spans="1:13" s="4" customFormat="1" hidden="1" x14ac:dyDescent="0.2">
      <c r="A116" s="47">
        <v>106</v>
      </c>
      <c r="B116" s="73" t="s">
        <v>176</v>
      </c>
      <c r="C116" s="56" t="s">
        <v>177</v>
      </c>
      <c r="D116" s="114"/>
      <c r="E116" s="114"/>
      <c r="F116" s="103"/>
      <c r="G116" s="103"/>
      <c r="H116" s="103"/>
      <c r="I116" s="103"/>
      <c r="J116" s="103"/>
      <c r="K116" s="118"/>
      <c r="L116" s="43">
        <f>K116*102.4/100</f>
        <v>0</v>
      </c>
      <c r="M116" s="105"/>
    </row>
    <row r="117" spans="1:13" s="4" customFormat="1" ht="25.5" hidden="1" x14ac:dyDescent="0.2">
      <c r="A117" s="47">
        <v>107</v>
      </c>
      <c r="B117" s="169" t="s">
        <v>178</v>
      </c>
      <c r="C117" s="101" t="s">
        <v>179</v>
      </c>
      <c r="D117" s="114"/>
      <c r="E117" s="114"/>
      <c r="F117" s="103">
        <f>G117+H117+I117+J117</f>
        <v>0</v>
      </c>
      <c r="G117" s="103"/>
      <c r="H117" s="103"/>
      <c r="I117" s="103"/>
      <c r="J117" s="103"/>
      <c r="K117" s="104"/>
      <c r="L117" s="43"/>
      <c r="M117" s="105"/>
    </row>
    <row r="118" spans="1:13" s="135" customFormat="1" hidden="1" x14ac:dyDescent="0.2">
      <c r="A118" s="47">
        <v>108</v>
      </c>
      <c r="B118" s="179" t="s">
        <v>180</v>
      </c>
      <c r="C118" s="180"/>
      <c r="D118" s="181"/>
      <c r="E118" s="181"/>
      <c r="F118" s="103">
        <f>F132</f>
        <v>0</v>
      </c>
      <c r="G118" s="103">
        <f>G132</f>
        <v>0</v>
      </c>
      <c r="H118" s="103">
        <f>H132</f>
        <v>0</v>
      </c>
      <c r="I118" s="103">
        <f>I132</f>
        <v>0</v>
      </c>
      <c r="J118" s="103">
        <f>J132</f>
        <v>0</v>
      </c>
      <c r="K118" s="104"/>
      <c r="L118" s="43">
        <f>K118*102.4/100</f>
        <v>0</v>
      </c>
      <c r="M118" s="105"/>
    </row>
    <row r="119" spans="1:13" s="4" customFormat="1" ht="25.5" hidden="1" x14ac:dyDescent="0.2">
      <c r="A119" s="47">
        <v>109</v>
      </c>
      <c r="B119" s="126" t="s">
        <v>181</v>
      </c>
      <c r="C119" s="136" t="s">
        <v>182</v>
      </c>
      <c r="D119" s="137"/>
      <c r="E119" s="137"/>
      <c r="F119" s="103"/>
      <c r="G119" s="103"/>
      <c r="H119" s="103"/>
      <c r="I119" s="103"/>
      <c r="J119" s="103"/>
      <c r="K119" s="118"/>
      <c r="L119" s="43">
        <f>K119*102.4/100</f>
        <v>0</v>
      </c>
      <c r="M119" s="105"/>
    </row>
    <row r="120" spans="1:13" s="4" customFormat="1" hidden="1" x14ac:dyDescent="0.2">
      <c r="A120" s="47">
        <v>110</v>
      </c>
      <c r="B120" s="55" t="s">
        <v>183</v>
      </c>
      <c r="C120" s="56" t="s">
        <v>184</v>
      </c>
      <c r="D120" s="114"/>
      <c r="E120" s="114"/>
      <c r="F120" s="103"/>
      <c r="G120" s="103"/>
      <c r="H120" s="103"/>
      <c r="I120" s="103"/>
      <c r="J120" s="103"/>
      <c r="K120" s="118"/>
      <c r="L120" s="43">
        <f>K120*102.4/100</f>
        <v>0</v>
      </c>
      <c r="M120" s="105"/>
    </row>
    <row r="121" spans="1:13" s="139" customFormat="1" hidden="1" x14ac:dyDescent="0.2">
      <c r="A121" s="47">
        <v>111</v>
      </c>
      <c r="B121" s="138" t="s">
        <v>185</v>
      </c>
      <c r="C121" s="41" t="s">
        <v>186</v>
      </c>
      <c r="D121" s="117"/>
      <c r="E121" s="117"/>
      <c r="F121" s="103"/>
      <c r="G121" s="103"/>
      <c r="H121" s="103"/>
      <c r="I121" s="103"/>
      <c r="J121" s="103"/>
      <c r="K121" s="118"/>
      <c r="L121" s="43">
        <f>K121*102.4/100</f>
        <v>0</v>
      </c>
      <c r="M121" s="105"/>
    </row>
    <row r="122" spans="1:13" s="139" customFormat="1" hidden="1" x14ac:dyDescent="0.2">
      <c r="A122" s="47">
        <v>112</v>
      </c>
      <c r="B122" s="138" t="s">
        <v>187</v>
      </c>
      <c r="C122" s="56" t="s">
        <v>188</v>
      </c>
      <c r="D122" s="117"/>
      <c r="E122" s="117"/>
      <c r="F122" s="103"/>
      <c r="G122" s="103"/>
      <c r="H122" s="103"/>
      <c r="I122" s="103"/>
      <c r="J122" s="103"/>
      <c r="K122" s="104"/>
      <c r="L122" s="43"/>
      <c r="M122" s="105"/>
    </row>
    <row r="123" spans="1:13" s="139" customFormat="1" hidden="1" x14ac:dyDescent="0.2">
      <c r="A123" s="47">
        <v>113</v>
      </c>
      <c r="B123" s="138" t="s">
        <v>189</v>
      </c>
      <c r="C123" s="56" t="s">
        <v>190</v>
      </c>
      <c r="D123" s="117"/>
      <c r="E123" s="117"/>
      <c r="F123" s="103"/>
      <c r="G123" s="103"/>
      <c r="H123" s="103"/>
      <c r="I123" s="103"/>
      <c r="J123" s="103"/>
      <c r="K123" s="104"/>
      <c r="L123" s="43"/>
      <c r="M123" s="105"/>
    </row>
    <row r="124" spans="1:13" s="139" customFormat="1" hidden="1" x14ac:dyDescent="0.2">
      <c r="A124" s="47">
        <v>114</v>
      </c>
      <c r="B124" s="138" t="s">
        <v>191</v>
      </c>
      <c r="C124" s="41" t="s">
        <v>192</v>
      </c>
      <c r="D124" s="117"/>
      <c r="E124" s="117"/>
      <c r="F124" s="103"/>
      <c r="G124" s="103"/>
      <c r="H124" s="103"/>
      <c r="I124" s="103"/>
      <c r="J124" s="103"/>
      <c r="K124" s="104"/>
      <c r="L124" s="43"/>
      <c r="M124" s="105"/>
    </row>
    <row r="125" spans="1:13" s="139" customFormat="1" hidden="1" x14ac:dyDescent="0.2">
      <c r="A125" s="47">
        <v>115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43"/>
      <c r="M125" s="105"/>
    </row>
    <row r="126" spans="1:13" s="139" customFormat="1" hidden="1" x14ac:dyDescent="0.2">
      <c r="A126" s="47">
        <v>116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43"/>
      <c r="M126" s="105"/>
    </row>
    <row r="127" spans="1:13" s="139" customFormat="1" hidden="1" x14ac:dyDescent="0.2">
      <c r="A127" s="47">
        <v>117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43"/>
      <c r="M127" s="105"/>
    </row>
    <row r="128" spans="1:13" s="139" customFormat="1" hidden="1" x14ac:dyDescent="0.2">
      <c r="A128" s="47">
        <v>118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43"/>
      <c r="M128" s="105"/>
    </row>
    <row r="129" spans="1:15" s="139" customFormat="1" hidden="1" x14ac:dyDescent="0.2">
      <c r="A129" s="47">
        <v>119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43"/>
      <c r="M129" s="105"/>
    </row>
    <row r="130" spans="1:15" s="139" customFormat="1" hidden="1" x14ac:dyDescent="0.2">
      <c r="A130" s="47">
        <v>120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43"/>
      <c r="M130" s="105"/>
    </row>
    <row r="131" spans="1:15" s="139" customFormat="1" hidden="1" x14ac:dyDescent="0.2">
      <c r="A131" s="47">
        <v>121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43"/>
      <c r="M131" s="105"/>
    </row>
    <row r="132" spans="1:15" s="4" customFormat="1" hidden="1" x14ac:dyDescent="0.2">
      <c r="A132" s="47">
        <v>122</v>
      </c>
      <c r="B132" s="140" t="s">
        <v>206</v>
      </c>
      <c r="C132" s="56" t="s">
        <v>207</v>
      </c>
      <c r="D132" s="114"/>
      <c r="E132" s="114"/>
      <c r="F132" s="103">
        <f t="shared" ref="F132:J133" si="9">F133</f>
        <v>0</v>
      </c>
      <c r="G132" s="103">
        <f t="shared" si="9"/>
        <v>0</v>
      </c>
      <c r="H132" s="103">
        <f t="shared" si="9"/>
        <v>0</v>
      </c>
      <c r="I132" s="103">
        <f t="shared" si="9"/>
        <v>0</v>
      </c>
      <c r="J132" s="103">
        <f t="shared" si="9"/>
        <v>0</v>
      </c>
      <c r="K132" s="104"/>
      <c r="L132" s="43">
        <f>K132*102.4/100</f>
        <v>0</v>
      </c>
      <c r="M132" s="105"/>
    </row>
    <row r="133" spans="1:15" s="4" customFormat="1" hidden="1" x14ac:dyDescent="0.2">
      <c r="A133" s="47">
        <v>123</v>
      </c>
      <c r="B133" s="55" t="s">
        <v>208</v>
      </c>
      <c r="C133" s="75">
        <v>71</v>
      </c>
      <c r="D133" s="141"/>
      <c r="E133" s="141"/>
      <c r="F133" s="103">
        <f t="shared" si="9"/>
        <v>0</v>
      </c>
      <c r="G133" s="103">
        <f t="shared" si="9"/>
        <v>0</v>
      </c>
      <c r="H133" s="103">
        <f t="shared" si="9"/>
        <v>0</v>
      </c>
      <c r="I133" s="103">
        <f t="shared" si="9"/>
        <v>0</v>
      </c>
      <c r="J133" s="103">
        <f t="shared" si="9"/>
        <v>0</v>
      </c>
      <c r="K133" s="104"/>
      <c r="L133" s="43">
        <f>K133*102.4/100</f>
        <v>0</v>
      </c>
      <c r="M133" s="105"/>
    </row>
    <row r="134" spans="1:15" s="4" customFormat="1" hidden="1" x14ac:dyDescent="0.2">
      <c r="A134" s="47">
        <v>124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43">
        <f>K134*102.4/100</f>
        <v>0</v>
      </c>
      <c r="M134" s="105"/>
    </row>
    <row r="135" spans="1:15" s="4" customFormat="1" hidden="1" x14ac:dyDescent="0.2">
      <c r="A135" s="47">
        <v>125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43">
        <f>K135*102.4/100</f>
        <v>0</v>
      </c>
      <c r="M135" s="105"/>
    </row>
    <row r="136" spans="1:15" s="4" customFormat="1" hidden="1" x14ac:dyDescent="0.2">
      <c r="A136" s="47">
        <v>126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43">
        <f>K136*102.4/100</f>
        <v>0</v>
      </c>
      <c r="M136" s="105"/>
    </row>
    <row r="137" spans="1:15" s="4" customFormat="1" hidden="1" x14ac:dyDescent="0.2">
      <c r="A137" s="47">
        <v>127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43"/>
      <c r="M137" s="105"/>
    </row>
    <row r="138" spans="1:15" s="4" customFormat="1" hidden="1" x14ac:dyDescent="0.2">
      <c r="A138" s="47">
        <v>128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43">
        <f>K138*102.4/100</f>
        <v>0</v>
      </c>
      <c r="M138" s="105"/>
    </row>
    <row r="139" spans="1:15" s="4" customFormat="1" hidden="1" x14ac:dyDescent="0.2">
      <c r="A139" s="47">
        <v>129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43">
        <f>K139*102.4/100</f>
        <v>0</v>
      </c>
      <c r="M139" s="149"/>
    </row>
    <row r="140" spans="1:15" s="4" customFormat="1" x14ac:dyDescent="0.2">
      <c r="A140" s="182"/>
      <c r="B140" s="183"/>
      <c r="C140" s="184"/>
      <c r="D140" s="184"/>
      <c r="E140" s="184"/>
      <c r="F140" s="185"/>
      <c r="G140" s="185"/>
      <c r="H140" s="185"/>
      <c r="I140" s="185"/>
      <c r="J140" s="185"/>
      <c r="K140" s="185"/>
      <c r="L140" s="185"/>
      <c r="M140" s="185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132" t="s">
        <v>388</v>
      </c>
      <c r="K143" s="1132"/>
      <c r="L143" s="1132"/>
      <c r="M143" s="1132"/>
      <c r="N143" s="156"/>
      <c r="O143" s="6"/>
    </row>
    <row r="144" spans="1:15" ht="12.75" customHeight="1" x14ac:dyDescent="0.2">
      <c r="J144" s="152" t="s">
        <v>389</v>
      </c>
      <c r="K144" s="4"/>
      <c r="L144" s="4"/>
      <c r="M144" s="4"/>
    </row>
  </sheetData>
  <sheetProtection selectLockedCells="1" selectUnlockedCells="1"/>
  <mergeCells count="12"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  <mergeCell ref="K9:M9"/>
    <mergeCell ref="J143:M143"/>
  </mergeCells>
  <printOptions horizontalCentered="1"/>
  <pageMargins left="0.11805555555555555" right="0.19652777777777777" top="0.39374999999999999" bottom="0.19652777777777777" header="0.51180555555555551" footer="0.51180555555555551"/>
  <pageSetup paperSize="9" firstPageNumber="0" orientation="landscape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189C0-3DD8-495F-B530-A3BFDA44973C}">
  <sheetPr>
    <pageSetUpPr fitToPage="1"/>
  </sheetPr>
  <dimension ref="A1:P169"/>
  <sheetViews>
    <sheetView workbookViewId="0">
      <selection activeCell="C142" sqref="C142:F143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" style="1" customWidth="1"/>
    <col min="4" max="4" width="10.7109375" style="1" customWidth="1"/>
    <col min="5" max="5" width="8.855468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B6" s="1119" t="s">
        <v>373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x14ac:dyDescent="0.2">
      <c r="B7" s="1133" t="s">
        <v>253</v>
      </c>
      <c r="C7" s="1133"/>
      <c r="D7" s="1133"/>
      <c r="E7" s="1133"/>
      <c r="F7" s="1133"/>
      <c r="G7" s="1133"/>
      <c r="H7" s="1133"/>
      <c r="I7" s="1133"/>
      <c r="J7" s="1133"/>
      <c r="K7" s="1133"/>
      <c r="L7" s="1133"/>
      <c r="M7" s="1133"/>
    </row>
    <row r="8" spans="1:14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379</v>
      </c>
      <c r="E9" s="1125"/>
      <c r="F9" s="1127" t="s">
        <v>380</v>
      </c>
      <c r="G9" s="1129" t="s">
        <v>12</v>
      </c>
      <c r="H9" s="1129"/>
      <c r="I9" s="1129"/>
      <c r="J9" s="1143"/>
      <c r="K9" s="1144" t="s">
        <v>13</v>
      </c>
      <c r="L9" s="1130"/>
      <c r="M9" s="1131"/>
    </row>
    <row r="10" spans="1:14" s="4" customFormat="1" ht="48" customHeight="1" thickBot="1" x14ac:dyDescent="0.25">
      <c r="A10" s="1135"/>
      <c r="B10" s="1137"/>
      <c r="C10" s="1124"/>
      <c r="D10" s="1126"/>
      <c r="E10" s="1126"/>
      <c r="F10" s="1128"/>
      <c r="G10" s="967" t="s">
        <v>14</v>
      </c>
      <c r="H10" s="967" t="s">
        <v>15</v>
      </c>
      <c r="I10" s="967" t="s">
        <v>16</v>
      </c>
      <c r="J10" s="971" t="s">
        <v>17</v>
      </c>
      <c r="K10" s="972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306">
        <f>D12</f>
        <v>0</v>
      </c>
      <c r="E11" s="307">
        <f t="shared" ref="E11:J11" si="0">E12+E118</f>
        <v>0</v>
      </c>
      <c r="F11" s="308">
        <f t="shared" si="0"/>
        <v>740</v>
      </c>
      <c r="G11" s="308">
        <f t="shared" si="0"/>
        <v>224</v>
      </c>
      <c r="H11" s="308">
        <f t="shared" si="0"/>
        <v>225</v>
      </c>
      <c r="I11" s="308">
        <f t="shared" si="0"/>
        <v>171</v>
      </c>
      <c r="J11" s="1049">
        <f t="shared" si="0"/>
        <v>120</v>
      </c>
      <c r="K11" s="1046">
        <f t="shared" ref="K11:M12" si="1">K12</f>
        <v>785.89499999999998</v>
      </c>
      <c r="L11" s="22">
        <f t="shared" si="1"/>
        <v>765.23300000000006</v>
      </c>
      <c r="M11" s="774">
        <f t="shared" si="1"/>
        <v>764.76099999999997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309">
        <f>D13</f>
        <v>0</v>
      </c>
      <c r="E12" s="310">
        <f t="shared" ref="E12:J12" si="2">E13</f>
        <v>0</v>
      </c>
      <c r="F12" s="310">
        <f t="shared" si="2"/>
        <v>740</v>
      </c>
      <c r="G12" s="310">
        <f t="shared" si="2"/>
        <v>224</v>
      </c>
      <c r="H12" s="310">
        <f t="shared" si="2"/>
        <v>225</v>
      </c>
      <c r="I12" s="310">
        <f t="shared" si="2"/>
        <v>171</v>
      </c>
      <c r="J12" s="1050">
        <f t="shared" si="2"/>
        <v>120</v>
      </c>
      <c r="K12" s="1047">
        <f t="shared" si="1"/>
        <v>785.89499999999998</v>
      </c>
      <c r="L12" s="29">
        <f t="shared" si="1"/>
        <v>765.23300000000006</v>
      </c>
      <c r="M12" s="776">
        <f t="shared" si="1"/>
        <v>764.76099999999997</v>
      </c>
    </row>
    <row r="13" spans="1:14" s="4" customFormat="1" x14ac:dyDescent="0.2">
      <c r="A13" s="689">
        <v>3</v>
      </c>
      <c r="B13" s="157" t="s">
        <v>21</v>
      </c>
      <c r="C13" s="75" t="s">
        <v>22</v>
      </c>
      <c r="D13" s="53">
        <f>D14+D34</f>
        <v>0</v>
      </c>
      <c r="E13" s="53">
        <f>E14+E34</f>
        <v>0</v>
      </c>
      <c r="F13" s="364">
        <f>F14+F34+F92+F112</f>
        <v>740</v>
      </c>
      <c r="G13" s="364">
        <f>G14+G34+G92+G112</f>
        <v>224</v>
      </c>
      <c r="H13" s="364">
        <f>H14+H34+H92+H112</f>
        <v>225</v>
      </c>
      <c r="I13" s="364">
        <f>I14+I34+I92+I112</f>
        <v>171</v>
      </c>
      <c r="J13" s="980">
        <f>J14+J34+J92+J112</f>
        <v>120</v>
      </c>
      <c r="K13" s="79">
        <f>K14+K34</f>
        <v>785.89499999999998</v>
      </c>
      <c r="L13" s="58">
        <f>L14+L34</f>
        <v>765.23300000000006</v>
      </c>
      <c r="M13" s="863">
        <f>M14+M34</f>
        <v>764.76099999999997</v>
      </c>
    </row>
    <row r="14" spans="1:14" s="4" customFormat="1" x14ac:dyDescent="0.2">
      <c r="A14" s="689">
        <v>4</v>
      </c>
      <c r="B14" s="160" t="s">
        <v>23</v>
      </c>
      <c r="C14" s="161" t="s">
        <v>24</v>
      </c>
      <c r="D14" s="53">
        <f>D15+D26+D23</f>
        <v>0</v>
      </c>
      <c r="E14" s="53">
        <f>E15+E26+E23</f>
        <v>0</v>
      </c>
      <c r="F14" s="377">
        <f>F15+F26+F23</f>
        <v>673</v>
      </c>
      <c r="G14" s="364">
        <f>G15+G23+G26</f>
        <v>193</v>
      </c>
      <c r="H14" s="364">
        <f>H15+H23+H26</f>
        <v>198</v>
      </c>
      <c r="I14" s="364">
        <f>I15+I23+I26</f>
        <v>165</v>
      </c>
      <c r="J14" s="980">
        <f>J15+J23+J26</f>
        <v>117</v>
      </c>
      <c r="K14" s="79">
        <f>F14*106.7%</f>
        <v>718.09100000000001</v>
      </c>
      <c r="L14" s="43">
        <f>F14*103.6%</f>
        <v>697.22800000000007</v>
      </c>
      <c r="M14" s="771">
        <f>F14*103.5%</f>
        <v>696.55499999999995</v>
      </c>
    </row>
    <row r="15" spans="1:14" s="4" customFormat="1" x14ac:dyDescent="0.2">
      <c r="A15" s="689">
        <v>5</v>
      </c>
      <c r="B15" s="55" t="s">
        <v>25</v>
      </c>
      <c r="C15" s="161" t="s">
        <v>26</v>
      </c>
      <c r="D15" s="53">
        <f>D16+D17+D21+D18</f>
        <v>0</v>
      </c>
      <c r="E15" s="53">
        <f>E16+E17+E21+E18</f>
        <v>0</v>
      </c>
      <c r="F15" s="377">
        <f>F16+F17+F21+F18</f>
        <v>651</v>
      </c>
      <c r="G15" s="364">
        <f>G16+G17+G18+G19+G20+G21</f>
        <v>189</v>
      </c>
      <c r="H15" s="364">
        <f>H16+H17+H18+H19+H20+H21</f>
        <v>189</v>
      </c>
      <c r="I15" s="364">
        <f>I16+I17+I18+I19+I20+I21</f>
        <v>161</v>
      </c>
      <c r="J15" s="980">
        <f>J16+J17+J18+J19+J20+J21</f>
        <v>112</v>
      </c>
      <c r="K15" s="79"/>
      <c r="L15" s="43"/>
      <c r="M15" s="771"/>
    </row>
    <row r="16" spans="1:14" s="4" customFormat="1" x14ac:dyDescent="0.2">
      <c r="A16" s="689">
        <v>6</v>
      </c>
      <c r="B16" s="40" t="s">
        <v>27</v>
      </c>
      <c r="C16" s="41" t="s">
        <v>28</v>
      </c>
      <c r="D16" s="42">
        <v>0</v>
      </c>
      <c r="E16" s="42">
        <v>0</v>
      </c>
      <c r="F16" s="365">
        <f t="shared" ref="F16:F21" si="3">G16+H16+I16+J16</f>
        <v>415</v>
      </c>
      <c r="G16" s="365">
        <v>104</v>
      </c>
      <c r="H16" s="365">
        <v>104</v>
      </c>
      <c r="I16" s="365">
        <v>103</v>
      </c>
      <c r="J16" s="1051">
        <v>104</v>
      </c>
      <c r="K16" s="168"/>
      <c r="L16" s="44"/>
      <c r="M16" s="711"/>
    </row>
    <row r="17" spans="1:16" s="4" customFormat="1" x14ac:dyDescent="0.2">
      <c r="A17" s="689">
        <v>7</v>
      </c>
      <c r="B17" s="40" t="s">
        <v>29</v>
      </c>
      <c r="C17" s="41" t="s">
        <v>30</v>
      </c>
      <c r="D17" s="42">
        <v>0</v>
      </c>
      <c r="E17" s="42">
        <v>0</v>
      </c>
      <c r="F17" s="365">
        <f t="shared" si="3"/>
        <v>207</v>
      </c>
      <c r="G17" s="365">
        <v>78</v>
      </c>
      <c r="H17" s="365">
        <v>78</v>
      </c>
      <c r="I17" s="365">
        <f>77-26</f>
        <v>51</v>
      </c>
      <c r="J17" s="1051">
        <f>78-78</f>
        <v>0</v>
      </c>
      <c r="K17" s="168"/>
      <c r="L17" s="44"/>
      <c r="M17" s="711"/>
      <c r="P17" s="48"/>
    </row>
    <row r="18" spans="1:16" s="4" customFormat="1" x14ac:dyDescent="0.2">
      <c r="A18" s="689">
        <v>8</v>
      </c>
      <c r="B18" s="40" t="s">
        <v>31</v>
      </c>
      <c r="C18" s="41" t="s">
        <v>32</v>
      </c>
      <c r="D18" s="42">
        <v>0</v>
      </c>
      <c r="E18" s="42">
        <v>0</v>
      </c>
      <c r="F18" s="365">
        <f t="shared" si="3"/>
        <v>4</v>
      </c>
      <c r="G18" s="365">
        <v>1</v>
      </c>
      <c r="H18" s="365">
        <v>1</v>
      </c>
      <c r="I18" s="365">
        <v>1</v>
      </c>
      <c r="J18" s="1051">
        <v>1</v>
      </c>
      <c r="K18" s="168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" t="s">
        <v>34</v>
      </c>
      <c r="D19" s="321"/>
      <c r="E19" s="321"/>
      <c r="F19" s="365">
        <f t="shared" si="3"/>
        <v>0</v>
      </c>
      <c r="G19" s="365"/>
      <c r="H19" s="365"/>
      <c r="I19" s="365"/>
      <c r="J19" s="1051"/>
      <c r="K19" s="168"/>
      <c r="L19" s="44"/>
      <c r="M19" s="711"/>
      <c r="P19" s="48"/>
    </row>
    <row r="20" spans="1:16" s="4" customFormat="1" hidden="1" x14ac:dyDescent="0.2">
      <c r="A20" s="689">
        <v>10</v>
      </c>
      <c r="B20" s="40" t="s">
        <v>35</v>
      </c>
      <c r="C20" s="41" t="s">
        <v>36</v>
      </c>
      <c r="D20" s="42"/>
      <c r="E20" s="42"/>
      <c r="F20" s="365">
        <f t="shared" si="3"/>
        <v>0</v>
      </c>
      <c r="G20" s="365"/>
      <c r="H20" s="365"/>
      <c r="I20" s="365"/>
      <c r="J20" s="1051"/>
      <c r="K20" s="168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42">
        <v>0</v>
      </c>
      <c r="E21" s="42">
        <v>0</v>
      </c>
      <c r="F21" s="365">
        <f t="shared" si="3"/>
        <v>25</v>
      </c>
      <c r="G21" s="365">
        <v>6</v>
      </c>
      <c r="H21" s="365">
        <v>6</v>
      </c>
      <c r="I21" s="365">
        <v>6</v>
      </c>
      <c r="J21" s="1051">
        <v>7</v>
      </c>
      <c r="K21" s="168"/>
      <c r="L21" s="44"/>
      <c r="M21" s="711"/>
      <c r="P21" s="48"/>
    </row>
    <row r="22" spans="1:16" s="4" customFormat="1" hidden="1" x14ac:dyDescent="0.2">
      <c r="A22" s="689">
        <v>12</v>
      </c>
      <c r="B22" s="40" t="s">
        <v>39</v>
      </c>
      <c r="C22" s="41" t="s">
        <v>40</v>
      </c>
      <c r="D22" s="42"/>
      <c r="E22" s="42"/>
      <c r="F22" s="365"/>
      <c r="G22" s="365"/>
      <c r="H22" s="365"/>
      <c r="I22" s="365"/>
      <c r="J22" s="1051"/>
      <c r="K22" s="168"/>
      <c r="L22" s="44"/>
      <c r="M22" s="711"/>
      <c r="P22" s="48"/>
    </row>
    <row r="23" spans="1:16" s="4" customFormat="1" x14ac:dyDescent="0.2">
      <c r="A23" s="689">
        <v>13</v>
      </c>
      <c r="B23" s="40" t="s">
        <v>41</v>
      </c>
      <c r="C23" s="52" t="s">
        <v>42</v>
      </c>
      <c r="D23" s="53">
        <f t="shared" ref="D23:J23" si="4">D24</f>
        <v>0</v>
      </c>
      <c r="E23" s="53">
        <f t="shared" si="4"/>
        <v>0</v>
      </c>
      <c r="F23" s="377">
        <f t="shared" si="4"/>
        <v>5</v>
      </c>
      <c r="G23" s="364">
        <f t="shared" si="4"/>
        <v>0</v>
      </c>
      <c r="H23" s="364">
        <f t="shared" si="4"/>
        <v>5</v>
      </c>
      <c r="I23" s="364">
        <f>I24</f>
        <v>0</v>
      </c>
      <c r="J23" s="980">
        <f t="shared" si="4"/>
        <v>0</v>
      </c>
      <c r="K23" s="168"/>
      <c r="L23" s="44"/>
      <c r="M23" s="711"/>
      <c r="P23" s="48"/>
    </row>
    <row r="24" spans="1:16" s="4" customFormat="1" x14ac:dyDescent="0.2">
      <c r="A24" s="689">
        <v>14</v>
      </c>
      <c r="B24" s="40" t="s">
        <v>43</v>
      </c>
      <c r="C24" s="54" t="s">
        <v>44</v>
      </c>
      <c r="D24" s="42">
        <v>0</v>
      </c>
      <c r="E24" s="42">
        <v>0</v>
      </c>
      <c r="F24" s="365">
        <f>G24+H24+I24+J24</f>
        <v>5</v>
      </c>
      <c r="G24" s="365">
        <v>0</v>
      </c>
      <c r="H24" s="365">
        <v>5</v>
      </c>
      <c r="I24" s="365">
        <v>0</v>
      </c>
      <c r="J24" s="1051">
        <v>0</v>
      </c>
      <c r="K24" s="168"/>
      <c r="L24" s="44"/>
      <c r="M24" s="711"/>
      <c r="P24" s="48"/>
    </row>
    <row r="25" spans="1:16" s="4" customFormat="1" hidden="1" x14ac:dyDescent="0.2">
      <c r="A25" s="689">
        <v>15</v>
      </c>
      <c r="B25" s="40" t="s">
        <v>230</v>
      </c>
      <c r="C25" s="54" t="s">
        <v>231</v>
      </c>
      <c r="D25" s="42">
        <v>0</v>
      </c>
      <c r="E25" s="42">
        <v>0</v>
      </c>
      <c r="F25" s="365"/>
      <c r="G25" s="365"/>
      <c r="H25" s="365"/>
      <c r="I25" s="365"/>
      <c r="J25" s="1051"/>
      <c r="K25" s="168"/>
      <c r="L25" s="44"/>
      <c r="M25" s="711"/>
      <c r="P25" s="48"/>
    </row>
    <row r="26" spans="1:16" s="4" customFormat="1" x14ac:dyDescent="0.2">
      <c r="A26" s="689">
        <v>16</v>
      </c>
      <c r="B26" s="55" t="s">
        <v>45</v>
      </c>
      <c r="C26" s="56" t="s">
        <v>46</v>
      </c>
      <c r="D26" s="53">
        <f>D32</f>
        <v>0</v>
      </c>
      <c r="E26" s="53">
        <f>E32</f>
        <v>0</v>
      </c>
      <c r="F26" s="364">
        <f>F27+F28+F29+F30+F31+F32+F33</f>
        <v>17</v>
      </c>
      <c r="G26" s="364">
        <f>G27+G28+G29+G30+G31+G32+G33</f>
        <v>4</v>
      </c>
      <c r="H26" s="364">
        <f>H27+H28+H29+H30+H31+H32+H33</f>
        <v>4</v>
      </c>
      <c r="I26" s="364">
        <f>I27+I28+I29+I30+I31+I32+I33</f>
        <v>4</v>
      </c>
      <c r="J26" s="980">
        <f>J27+J28+J29+J30+J31+J32+J33</f>
        <v>5</v>
      </c>
      <c r="K26" s="79"/>
      <c r="L26" s="43"/>
      <c r="M26" s="771"/>
    </row>
    <row r="27" spans="1:16" s="4" customFormat="1" hidden="1" x14ac:dyDescent="0.2">
      <c r="A27" s="689">
        <v>17</v>
      </c>
      <c r="B27" s="59" t="s">
        <v>47</v>
      </c>
      <c r="C27" s="41" t="s">
        <v>48</v>
      </c>
      <c r="D27" s="42"/>
      <c r="E27" s="42"/>
      <c r="F27" s="365">
        <f t="shared" ref="F27:F32" si="5">G27+H27+I27+J27</f>
        <v>0</v>
      </c>
      <c r="G27" s="365">
        <v>0</v>
      </c>
      <c r="H27" s="365">
        <v>0</v>
      </c>
      <c r="I27" s="365">
        <v>0</v>
      </c>
      <c r="J27" s="1051">
        <v>0</v>
      </c>
      <c r="K27" s="168"/>
      <c r="L27" s="44"/>
      <c r="M27" s="711"/>
    </row>
    <row r="28" spans="1:16" s="4" customFormat="1" hidden="1" x14ac:dyDescent="0.2">
      <c r="A28" s="689">
        <v>18</v>
      </c>
      <c r="B28" s="59" t="s">
        <v>49</v>
      </c>
      <c r="C28" s="41" t="s">
        <v>50</v>
      </c>
      <c r="D28" s="42"/>
      <c r="E28" s="42"/>
      <c r="F28" s="365">
        <f t="shared" si="5"/>
        <v>0</v>
      </c>
      <c r="G28" s="365">
        <v>0</v>
      </c>
      <c r="H28" s="365">
        <v>0</v>
      </c>
      <c r="I28" s="365">
        <v>0</v>
      </c>
      <c r="J28" s="1051">
        <v>0</v>
      </c>
      <c r="K28" s="168"/>
      <c r="L28" s="44"/>
      <c r="M28" s="711"/>
    </row>
    <row r="29" spans="1:16" s="4" customFormat="1" hidden="1" x14ac:dyDescent="0.2">
      <c r="A29" s="689">
        <v>19</v>
      </c>
      <c r="B29" s="59" t="s">
        <v>51</v>
      </c>
      <c r="C29" s="41" t="s">
        <v>52</v>
      </c>
      <c r="D29" s="42"/>
      <c r="E29" s="42"/>
      <c r="F29" s="365">
        <f t="shared" si="5"/>
        <v>0</v>
      </c>
      <c r="G29" s="365">
        <v>0</v>
      </c>
      <c r="H29" s="365">
        <v>0</v>
      </c>
      <c r="I29" s="365">
        <v>0</v>
      </c>
      <c r="J29" s="1051"/>
      <c r="K29" s="168"/>
      <c r="L29" s="44"/>
      <c r="M29" s="711"/>
    </row>
    <row r="30" spans="1:16" s="4" customFormat="1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5"/>
        <v>0</v>
      </c>
      <c r="G30" s="365"/>
      <c r="H30" s="365"/>
      <c r="I30" s="365"/>
      <c r="J30" s="1051"/>
      <c r="K30" s="168"/>
      <c r="L30" s="44"/>
      <c r="M30" s="711"/>
    </row>
    <row r="31" spans="1:16" s="4" customFormat="1" hidden="1" x14ac:dyDescent="0.2">
      <c r="A31" s="689">
        <v>21</v>
      </c>
      <c r="B31" s="59" t="s">
        <v>55</v>
      </c>
      <c r="C31" s="41" t="s">
        <v>56</v>
      </c>
      <c r="D31" s="42"/>
      <c r="E31" s="42"/>
      <c r="F31" s="365">
        <f t="shared" si="5"/>
        <v>0</v>
      </c>
      <c r="G31" s="365"/>
      <c r="H31" s="365"/>
      <c r="I31" s="365"/>
      <c r="J31" s="1051"/>
      <c r="K31" s="168"/>
      <c r="L31" s="44"/>
      <c r="M31" s="711"/>
    </row>
    <row r="32" spans="1:16" s="4" customFormat="1" x14ac:dyDescent="0.2">
      <c r="A32" s="689">
        <v>22</v>
      </c>
      <c r="B32" s="59" t="s">
        <v>57</v>
      </c>
      <c r="C32" s="41" t="s">
        <v>58</v>
      </c>
      <c r="D32" s="42">
        <v>0</v>
      </c>
      <c r="E32" s="42">
        <v>0</v>
      </c>
      <c r="F32" s="365">
        <f t="shared" si="5"/>
        <v>17</v>
      </c>
      <c r="G32" s="365">
        <v>4</v>
      </c>
      <c r="H32" s="365">
        <v>4</v>
      </c>
      <c r="I32" s="365">
        <v>4</v>
      </c>
      <c r="J32" s="1051">
        <v>5</v>
      </c>
      <c r="K32" s="168"/>
      <c r="L32" s="44"/>
      <c r="M32" s="711"/>
    </row>
    <row r="33" spans="1:16" s="4" customFormat="1" hidden="1" x14ac:dyDescent="0.2">
      <c r="A33" s="689">
        <v>23</v>
      </c>
      <c r="B33" s="59" t="s">
        <v>59</v>
      </c>
      <c r="C33" s="41" t="s">
        <v>60</v>
      </c>
      <c r="D33" s="42"/>
      <c r="E33" s="42"/>
      <c r="F33" s="365"/>
      <c r="G33" s="365"/>
      <c r="H33" s="365"/>
      <c r="I33" s="365"/>
      <c r="J33" s="1051"/>
      <c r="K33" s="168"/>
      <c r="L33" s="44"/>
      <c r="M33" s="711"/>
    </row>
    <row r="34" spans="1:16" s="4" customFormat="1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</f>
        <v>0</v>
      </c>
      <c r="F34" s="364">
        <f>F35+F57+F58+F59+F64+F69+F72+F73+F74+F75+F78</f>
        <v>67</v>
      </c>
      <c r="G34" s="364">
        <f>G35+G57+G58+G59+G64+G69+G72+G73+G74+G75+G78</f>
        <v>31</v>
      </c>
      <c r="H34" s="364">
        <f>H35+H57+H58+H59+H64+H69+H72+H73+H74+H75+H78</f>
        <v>27</v>
      </c>
      <c r="I34" s="364">
        <f>I35+I57+I58+I59+I64+I69+I72+I73+I74+I75+I78</f>
        <v>6</v>
      </c>
      <c r="J34" s="980">
        <f>J35+J57+J58+J59+J64+J69+J72+J73+J74+J75+J78</f>
        <v>3</v>
      </c>
      <c r="K34" s="79">
        <f>F34*101.2%</f>
        <v>67.804000000000002</v>
      </c>
      <c r="L34" s="43">
        <f>F34*101.5%</f>
        <v>68.004999999999995</v>
      </c>
      <c r="M34" s="771">
        <f>F34*101.8%</f>
        <v>68.206000000000003</v>
      </c>
    </row>
    <row r="35" spans="1:16" s="4" customFormat="1" x14ac:dyDescent="0.2">
      <c r="A35" s="689">
        <v>25</v>
      </c>
      <c r="B35" s="160" t="s">
        <v>62</v>
      </c>
      <c r="C35" s="56" t="s">
        <v>63</v>
      </c>
      <c r="D35" s="53">
        <f>D36+D40+D43+D44+D47+D50+D53</f>
        <v>0</v>
      </c>
      <c r="E35" s="53">
        <f>E36+E40+E43+E44+E47+E50+E53</f>
        <v>0</v>
      </c>
      <c r="F35" s="364">
        <f>F36+F40+F43+F44+F45+F46+F47+F50+F53</f>
        <v>54</v>
      </c>
      <c r="G35" s="364">
        <f>G36+G40+G43+G44+G45+G46+G47+G50+G53</f>
        <v>25</v>
      </c>
      <c r="H35" s="364">
        <f>H36+H40+H43+H44+H45+H46+H47+H50+H53</f>
        <v>22</v>
      </c>
      <c r="I35" s="364">
        <f>I36+I40+I43+I44+I45+I46+I47+I50+I53</f>
        <v>5</v>
      </c>
      <c r="J35" s="980">
        <f>J36+J40+J43+J44+J45+J46+J47+J50+J53</f>
        <v>2</v>
      </c>
      <c r="K35" s="296"/>
      <c r="L35" s="103"/>
      <c r="M35" s="781"/>
    </row>
    <row r="36" spans="1:16" s="4" customFormat="1" x14ac:dyDescent="0.2">
      <c r="A36" s="689">
        <v>26</v>
      </c>
      <c r="B36" s="55" t="s">
        <v>64</v>
      </c>
      <c r="C36" s="56" t="s">
        <v>65</v>
      </c>
      <c r="D36" s="53">
        <f>D37</f>
        <v>0</v>
      </c>
      <c r="E36" s="53">
        <f>E37</f>
        <v>0</v>
      </c>
      <c r="F36" s="364">
        <f>F37+F38+F39</f>
        <v>1</v>
      </c>
      <c r="G36" s="364">
        <f>G37+G38+G39</f>
        <v>0</v>
      </c>
      <c r="H36" s="364">
        <f>H37+H38+H39</f>
        <v>1</v>
      </c>
      <c r="I36" s="364">
        <f>I37+I38+I39</f>
        <v>0</v>
      </c>
      <c r="J36" s="980">
        <f>J37+J38+J39</f>
        <v>0</v>
      </c>
      <c r="K36" s="297"/>
      <c r="L36" s="91"/>
      <c r="M36" s="780"/>
    </row>
    <row r="37" spans="1:16" s="4" customFormat="1" x14ac:dyDescent="0.2">
      <c r="A37" s="689">
        <v>27</v>
      </c>
      <c r="B37" s="59" t="s">
        <v>64</v>
      </c>
      <c r="C37" s="41"/>
      <c r="D37" s="42">
        <v>0</v>
      </c>
      <c r="E37" s="42">
        <v>0</v>
      </c>
      <c r="F37" s="365">
        <f>G37+H37+I37+J37</f>
        <v>1</v>
      </c>
      <c r="G37" s="365">
        <f>2-2</f>
        <v>0</v>
      </c>
      <c r="H37" s="365">
        <f>0+1</f>
        <v>1</v>
      </c>
      <c r="I37" s="365">
        <v>0</v>
      </c>
      <c r="J37" s="1051">
        <v>0</v>
      </c>
      <c r="K37" s="297"/>
      <c r="L37" s="91"/>
      <c r="M37" s="780"/>
    </row>
    <row r="38" spans="1:16" s="4" customFormat="1" hidden="1" x14ac:dyDescent="0.2">
      <c r="A38" s="689">
        <v>28</v>
      </c>
      <c r="B38" s="59" t="s">
        <v>66</v>
      </c>
      <c r="C38" s="41"/>
      <c r="D38" s="42"/>
      <c r="E38" s="42"/>
      <c r="F38" s="365"/>
      <c r="G38" s="365"/>
      <c r="H38" s="365"/>
      <c r="I38" s="365"/>
      <c r="J38" s="1051"/>
      <c r="K38" s="297"/>
      <c r="L38" s="91"/>
      <c r="M38" s="780"/>
    </row>
    <row r="39" spans="1:16" s="4" customFormat="1" hidden="1" x14ac:dyDescent="0.2">
      <c r="A39" s="689">
        <v>29</v>
      </c>
      <c r="B39" s="59" t="s">
        <v>67</v>
      </c>
      <c r="C39" s="41"/>
      <c r="D39" s="42"/>
      <c r="E39" s="42"/>
      <c r="F39" s="365"/>
      <c r="G39" s="365"/>
      <c r="H39" s="365"/>
      <c r="I39" s="365"/>
      <c r="J39" s="1051"/>
      <c r="K39" s="297"/>
      <c r="L39" s="91"/>
      <c r="M39" s="780"/>
    </row>
    <row r="40" spans="1:16" s="4" customFormat="1" x14ac:dyDescent="0.2">
      <c r="A40" s="689">
        <v>30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364">
        <f>F41+F42</f>
        <v>1</v>
      </c>
      <c r="G40" s="364">
        <f>G41+G42</f>
        <v>1</v>
      </c>
      <c r="H40" s="364">
        <f>H41+H42</f>
        <v>0</v>
      </c>
      <c r="I40" s="364">
        <f>I41+I42</f>
        <v>0</v>
      </c>
      <c r="J40" s="980">
        <f>J41+J42</f>
        <v>0</v>
      </c>
      <c r="K40" s="297"/>
      <c r="L40" s="91"/>
      <c r="M40" s="780"/>
      <c r="P40" s="51"/>
    </row>
    <row r="41" spans="1:16" s="4" customFormat="1" x14ac:dyDescent="0.2">
      <c r="A41" s="689">
        <v>31</v>
      </c>
      <c r="B41" s="59" t="s">
        <v>70</v>
      </c>
      <c r="C41" s="56"/>
      <c r="D41" s="53">
        <v>0</v>
      </c>
      <c r="E41" s="53">
        <v>0</v>
      </c>
      <c r="F41" s="365">
        <f>G41+H41+I41+J41</f>
        <v>1</v>
      </c>
      <c r="G41" s="365">
        <f>2-1</f>
        <v>1</v>
      </c>
      <c r="H41" s="365">
        <v>0</v>
      </c>
      <c r="I41" s="365">
        <v>0</v>
      </c>
      <c r="J41" s="1051">
        <v>0</v>
      </c>
      <c r="K41" s="297"/>
      <c r="L41" s="91"/>
      <c r="M41" s="780"/>
    </row>
    <row r="42" spans="1:16" s="4" customFormat="1" hidden="1" x14ac:dyDescent="0.2">
      <c r="A42" s="689">
        <v>32</v>
      </c>
      <c r="B42" s="59" t="s">
        <v>71</v>
      </c>
      <c r="C42" s="56"/>
      <c r="D42" s="53"/>
      <c r="E42" s="53"/>
      <c r="F42" s="365"/>
      <c r="G42" s="365"/>
      <c r="H42" s="365"/>
      <c r="I42" s="365"/>
      <c r="J42" s="1051"/>
      <c r="K42" s="297"/>
      <c r="L42" s="91"/>
      <c r="M42" s="780"/>
    </row>
    <row r="43" spans="1:16" s="4" customFormat="1" x14ac:dyDescent="0.2">
      <c r="A43" s="689">
        <v>33</v>
      </c>
      <c r="B43" s="55" t="s">
        <v>72</v>
      </c>
      <c r="C43" s="56" t="s">
        <v>73</v>
      </c>
      <c r="D43" s="53">
        <v>0</v>
      </c>
      <c r="E43" s="53">
        <v>0</v>
      </c>
      <c r="F43" s="364">
        <f>G43+H43+I43+J43</f>
        <v>16</v>
      </c>
      <c r="G43" s="364">
        <v>8</v>
      </c>
      <c r="H43" s="364">
        <v>4</v>
      </c>
      <c r="I43" s="364">
        <v>3</v>
      </c>
      <c r="J43" s="980">
        <f>7-6</f>
        <v>1</v>
      </c>
      <c r="K43" s="297"/>
      <c r="L43" s="91"/>
      <c r="M43" s="780"/>
    </row>
    <row r="44" spans="1:16" s="4" customFormat="1" x14ac:dyDescent="0.2">
      <c r="A44" s="689">
        <v>34</v>
      </c>
      <c r="B44" s="55" t="s">
        <v>74</v>
      </c>
      <c r="C44" s="56" t="s">
        <v>75</v>
      </c>
      <c r="D44" s="53">
        <v>0</v>
      </c>
      <c r="E44" s="53">
        <v>0</v>
      </c>
      <c r="F44" s="364">
        <f>G44+H44+I44+J44</f>
        <v>22</v>
      </c>
      <c r="G44" s="364">
        <v>10</v>
      </c>
      <c r="H44" s="364">
        <v>10</v>
      </c>
      <c r="I44" s="364">
        <f>5-4</f>
        <v>1</v>
      </c>
      <c r="J44" s="980">
        <v>1</v>
      </c>
      <c r="K44" s="297"/>
      <c r="L44" s="91"/>
      <c r="M44" s="780"/>
    </row>
    <row r="45" spans="1:16" s="4" customFormat="1" hidden="1" x14ac:dyDescent="0.2">
      <c r="A45" s="689">
        <v>35</v>
      </c>
      <c r="B45" s="59" t="s">
        <v>76</v>
      </c>
      <c r="C45" s="41" t="s">
        <v>77</v>
      </c>
      <c r="D45" s="53"/>
      <c r="E45" s="53"/>
      <c r="F45" s="364"/>
      <c r="G45" s="364"/>
      <c r="H45" s="364"/>
      <c r="I45" s="364"/>
      <c r="J45" s="980"/>
      <c r="K45" s="297"/>
      <c r="L45" s="91"/>
      <c r="M45" s="780"/>
    </row>
    <row r="46" spans="1:16" s="4" customFormat="1" hidden="1" x14ac:dyDescent="0.2">
      <c r="A46" s="689">
        <v>36</v>
      </c>
      <c r="B46" s="59" t="s">
        <v>78</v>
      </c>
      <c r="C46" s="41" t="s">
        <v>79</v>
      </c>
      <c r="D46" s="53"/>
      <c r="E46" s="53"/>
      <c r="F46" s="364"/>
      <c r="G46" s="364"/>
      <c r="H46" s="364"/>
      <c r="I46" s="364"/>
      <c r="J46" s="980"/>
      <c r="K46" s="297"/>
      <c r="L46" s="91"/>
      <c r="M46" s="780"/>
    </row>
    <row r="47" spans="1:16" s="4" customFormat="1" x14ac:dyDescent="0.2">
      <c r="A47" s="689">
        <v>37</v>
      </c>
      <c r="B47" s="59" t="s">
        <v>80</v>
      </c>
      <c r="C47" s="41" t="s">
        <v>81</v>
      </c>
      <c r="D47" s="53">
        <f>D48</f>
        <v>0</v>
      </c>
      <c r="E47" s="53">
        <f>E48</f>
        <v>0</v>
      </c>
      <c r="F47" s="364">
        <f>F48+F49</f>
        <v>2</v>
      </c>
      <c r="G47" s="364">
        <f>G48+G49</f>
        <v>1</v>
      </c>
      <c r="H47" s="364">
        <f>H48+H49</f>
        <v>1</v>
      </c>
      <c r="I47" s="364">
        <f>I48+I49</f>
        <v>0</v>
      </c>
      <c r="J47" s="980">
        <f>J48+J49</f>
        <v>0</v>
      </c>
      <c r="K47" s="297"/>
      <c r="L47" s="91"/>
      <c r="M47" s="780"/>
    </row>
    <row r="48" spans="1:16" s="4" customFormat="1" x14ac:dyDescent="0.2">
      <c r="A48" s="689">
        <v>38</v>
      </c>
      <c r="B48" s="59" t="s">
        <v>80</v>
      </c>
      <c r="C48" s="41"/>
      <c r="D48" s="42">
        <v>0</v>
      </c>
      <c r="E48" s="42">
        <v>0</v>
      </c>
      <c r="F48" s="365">
        <f>G48+H48+I48+J48</f>
        <v>2</v>
      </c>
      <c r="G48" s="365">
        <v>1</v>
      </c>
      <c r="H48" s="365">
        <v>1</v>
      </c>
      <c r="I48" s="365">
        <v>0</v>
      </c>
      <c r="J48" s="1051">
        <v>0</v>
      </c>
      <c r="K48" s="297"/>
      <c r="L48" s="91"/>
      <c r="M48" s="780"/>
    </row>
    <row r="49" spans="1:13" s="4" customFormat="1" hidden="1" x14ac:dyDescent="0.2">
      <c r="A49" s="689">
        <v>39</v>
      </c>
      <c r="B49" s="59" t="s">
        <v>82</v>
      </c>
      <c r="C49" s="41"/>
      <c r="D49" s="42"/>
      <c r="E49" s="42"/>
      <c r="F49" s="365"/>
      <c r="G49" s="365"/>
      <c r="H49" s="365"/>
      <c r="I49" s="365"/>
      <c r="J49" s="1051"/>
      <c r="K49" s="297"/>
      <c r="L49" s="91"/>
      <c r="M49" s="780"/>
    </row>
    <row r="50" spans="1:13" s="4" customFormat="1" x14ac:dyDescent="0.2">
      <c r="A50" s="689">
        <v>40</v>
      </c>
      <c r="B50" s="73" t="s">
        <v>83</v>
      </c>
      <c r="C50" s="56" t="s">
        <v>84</v>
      </c>
      <c r="D50" s="53">
        <f>D51</f>
        <v>0</v>
      </c>
      <c r="E50" s="53">
        <f>E51</f>
        <v>0</v>
      </c>
      <c r="F50" s="364">
        <f>F51+F52</f>
        <v>1</v>
      </c>
      <c r="G50" s="364">
        <f>G51+G52</f>
        <v>0</v>
      </c>
      <c r="H50" s="364">
        <f>H51+H52</f>
        <v>1</v>
      </c>
      <c r="I50" s="364">
        <f>I51+I52</f>
        <v>0</v>
      </c>
      <c r="J50" s="980">
        <f>J51+J52</f>
        <v>0</v>
      </c>
      <c r="K50" s="297"/>
      <c r="L50" s="91"/>
      <c r="M50" s="780"/>
    </row>
    <row r="51" spans="1:13" s="4" customFormat="1" x14ac:dyDescent="0.2">
      <c r="A51" s="689">
        <v>41</v>
      </c>
      <c r="B51" s="74" t="s">
        <v>83</v>
      </c>
      <c r="C51" s="41"/>
      <c r="D51" s="42">
        <v>0</v>
      </c>
      <c r="E51" s="42">
        <v>0</v>
      </c>
      <c r="F51" s="365">
        <f>G51+H51+I51+J51</f>
        <v>1</v>
      </c>
      <c r="G51" s="365">
        <f>2-2</f>
        <v>0</v>
      </c>
      <c r="H51" s="365">
        <f>0+1</f>
        <v>1</v>
      </c>
      <c r="I51" s="365">
        <v>0</v>
      </c>
      <c r="J51" s="1051">
        <v>0</v>
      </c>
      <c r="K51" s="297"/>
      <c r="L51" s="91"/>
      <c r="M51" s="780"/>
    </row>
    <row r="52" spans="1:13" s="4" customFormat="1" hidden="1" x14ac:dyDescent="0.2">
      <c r="A52" s="689">
        <v>42</v>
      </c>
      <c r="B52" s="74" t="s">
        <v>85</v>
      </c>
      <c r="C52" s="41"/>
      <c r="D52" s="42"/>
      <c r="E52" s="42"/>
      <c r="F52" s="365"/>
      <c r="G52" s="365"/>
      <c r="H52" s="365"/>
      <c r="I52" s="365"/>
      <c r="J52" s="1051"/>
      <c r="K52" s="297"/>
      <c r="L52" s="91"/>
      <c r="M52" s="780"/>
    </row>
    <row r="53" spans="1:13" s="4" customFormat="1" x14ac:dyDescent="0.2">
      <c r="A53" s="689">
        <v>43</v>
      </c>
      <c r="B53" s="55" t="s">
        <v>86</v>
      </c>
      <c r="C53" s="56" t="s">
        <v>87</v>
      </c>
      <c r="D53" s="53">
        <f>D54+D55</f>
        <v>0</v>
      </c>
      <c r="E53" s="53">
        <f>E54+E55</f>
        <v>0</v>
      </c>
      <c r="F53" s="364">
        <f>F54+F55+F56</f>
        <v>11</v>
      </c>
      <c r="G53" s="364">
        <f>G54+G55+G56</f>
        <v>5</v>
      </c>
      <c r="H53" s="364">
        <f>H54+H55+H56</f>
        <v>5</v>
      </c>
      <c r="I53" s="364">
        <f>I54+I55+I56</f>
        <v>1</v>
      </c>
      <c r="J53" s="980">
        <f>J54+J55+J56</f>
        <v>0</v>
      </c>
      <c r="K53" s="297"/>
      <c r="L53" s="91"/>
      <c r="M53" s="780"/>
    </row>
    <row r="54" spans="1:13" s="4" customFormat="1" x14ac:dyDescent="0.2">
      <c r="A54" s="689">
        <v>44</v>
      </c>
      <c r="B54" s="59" t="s">
        <v>88</v>
      </c>
      <c r="C54" s="41"/>
      <c r="D54" s="42">
        <v>0</v>
      </c>
      <c r="E54" s="42">
        <v>0</v>
      </c>
      <c r="F54" s="365">
        <f>G54+H54+I54+J54</f>
        <v>7</v>
      </c>
      <c r="G54" s="365">
        <v>3</v>
      </c>
      <c r="H54" s="365">
        <v>3</v>
      </c>
      <c r="I54" s="365">
        <f>3-2</f>
        <v>1</v>
      </c>
      <c r="J54" s="1051">
        <v>0</v>
      </c>
      <c r="K54" s="297"/>
      <c r="L54" s="91"/>
      <c r="M54" s="780"/>
    </row>
    <row r="55" spans="1:13" s="4" customFormat="1" x14ac:dyDescent="0.2">
      <c r="A55" s="689">
        <v>45</v>
      </c>
      <c r="B55" s="59" t="s">
        <v>89</v>
      </c>
      <c r="C55" s="41"/>
      <c r="D55" s="42">
        <v>0</v>
      </c>
      <c r="E55" s="42">
        <v>0</v>
      </c>
      <c r="F55" s="365">
        <f>G55+H55+I55+J55</f>
        <v>4</v>
      </c>
      <c r="G55" s="365">
        <f>4-2</f>
        <v>2</v>
      </c>
      <c r="H55" s="365">
        <f>3-1</f>
        <v>2</v>
      </c>
      <c r="I55" s="365">
        <v>0</v>
      </c>
      <c r="J55" s="1051">
        <v>0</v>
      </c>
      <c r="K55" s="297"/>
      <c r="L55" s="91"/>
      <c r="M55" s="780"/>
    </row>
    <row r="56" spans="1:13" s="4" customFormat="1" hidden="1" x14ac:dyDescent="0.2">
      <c r="A56" s="689">
        <v>46</v>
      </c>
      <c r="B56" s="59" t="s">
        <v>233</v>
      </c>
      <c r="C56" s="41"/>
      <c r="D56" s="42"/>
      <c r="E56" s="42"/>
      <c r="F56" s="364"/>
      <c r="G56" s="364"/>
      <c r="H56" s="364"/>
      <c r="I56" s="364"/>
      <c r="J56" s="980"/>
      <c r="K56" s="296"/>
      <c r="L56" s="103"/>
      <c r="M56" s="781"/>
    </row>
    <row r="57" spans="1:13" s="4" customFormat="1" hidden="1" x14ac:dyDescent="0.2">
      <c r="A57" s="689">
        <v>47</v>
      </c>
      <c r="B57" s="55" t="s">
        <v>91</v>
      </c>
      <c r="C57" s="75" t="s">
        <v>92</v>
      </c>
      <c r="D57" s="53"/>
      <c r="E57" s="53"/>
      <c r="F57" s="364"/>
      <c r="G57" s="364"/>
      <c r="H57" s="364"/>
      <c r="I57" s="364"/>
      <c r="J57" s="980"/>
      <c r="K57" s="296"/>
      <c r="L57" s="103"/>
      <c r="M57" s="781"/>
    </row>
    <row r="58" spans="1:13" s="4" customFormat="1" x14ac:dyDescent="0.2">
      <c r="A58" s="689">
        <v>48</v>
      </c>
      <c r="B58" s="74" t="s">
        <v>93</v>
      </c>
      <c r="C58" s="56" t="s">
        <v>94</v>
      </c>
      <c r="D58" s="53">
        <v>0</v>
      </c>
      <c r="E58" s="53">
        <v>0</v>
      </c>
      <c r="F58" s="364">
        <f>G58+H58+I58+J58</f>
        <v>8</v>
      </c>
      <c r="G58" s="364">
        <v>3</v>
      </c>
      <c r="H58" s="364">
        <v>3</v>
      </c>
      <c r="I58" s="364">
        <v>1</v>
      </c>
      <c r="J58" s="980">
        <v>1</v>
      </c>
      <c r="K58" s="296"/>
      <c r="L58" s="103"/>
      <c r="M58" s="781"/>
    </row>
    <row r="59" spans="1:13" s="4" customFormat="1" x14ac:dyDescent="0.2">
      <c r="A59" s="689">
        <v>49</v>
      </c>
      <c r="B59" s="55" t="s">
        <v>95</v>
      </c>
      <c r="C59" s="56" t="s">
        <v>96</v>
      </c>
      <c r="D59" s="53">
        <f>D62+D63+D61</f>
        <v>0</v>
      </c>
      <c r="E59" s="53">
        <f>E62+E63+E61</f>
        <v>0</v>
      </c>
      <c r="F59" s="364">
        <f>F60+F61+F62+F63</f>
        <v>2</v>
      </c>
      <c r="G59" s="364">
        <f>G60+G61+G62</f>
        <v>1</v>
      </c>
      <c r="H59" s="364">
        <f>H60+H61+H62</f>
        <v>1</v>
      </c>
      <c r="I59" s="364">
        <f>I60+I61+I62</f>
        <v>0</v>
      </c>
      <c r="J59" s="980">
        <f>J60+J61+J62</f>
        <v>0</v>
      </c>
      <c r="K59" s="296"/>
      <c r="L59" s="103"/>
      <c r="M59" s="781"/>
    </row>
    <row r="60" spans="1:13" s="4" customFormat="1" hidden="1" x14ac:dyDescent="0.2">
      <c r="A60" s="689">
        <v>50</v>
      </c>
      <c r="B60" s="59" t="s">
        <v>97</v>
      </c>
      <c r="C60" s="41" t="s">
        <v>98</v>
      </c>
      <c r="D60" s="42"/>
      <c r="E60" s="42"/>
      <c r="F60" s="365">
        <v>0</v>
      </c>
      <c r="G60" s="365">
        <v>0</v>
      </c>
      <c r="H60" s="365">
        <v>0</v>
      </c>
      <c r="I60" s="365">
        <v>0</v>
      </c>
      <c r="J60" s="1051">
        <v>0</v>
      </c>
      <c r="K60" s="297"/>
      <c r="L60" s="91"/>
      <c r="M60" s="780"/>
    </row>
    <row r="61" spans="1:13" s="4" customFormat="1" x14ac:dyDescent="0.2">
      <c r="A61" s="689">
        <v>51</v>
      </c>
      <c r="B61" s="59" t="s">
        <v>99</v>
      </c>
      <c r="C61" s="41" t="s">
        <v>100</v>
      </c>
      <c r="D61" s="42">
        <v>0</v>
      </c>
      <c r="E61" s="42">
        <v>0</v>
      </c>
      <c r="F61" s="365">
        <f>G61+H61+I61+J61</f>
        <v>1</v>
      </c>
      <c r="G61" s="365">
        <f>4-4+1</f>
        <v>1</v>
      </c>
      <c r="H61" s="365">
        <f>0+1-1</f>
        <v>0</v>
      </c>
      <c r="I61" s="365">
        <v>0</v>
      </c>
      <c r="J61" s="1051">
        <v>0</v>
      </c>
      <c r="K61" s="297"/>
      <c r="L61" s="91"/>
      <c r="M61" s="780"/>
    </row>
    <row r="62" spans="1:13" s="4" customFormat="1" x14ac:dyDescent="0.2">
      <c r="A62" s="689">
        <v>52</v>
      </c>
      <c r="B62" s="59" t="s">
        <v>101</v>
      </c>
      <c r="C62" s="41" t="s">
        <v>102</v>
      </c>
      <c r="D62" s="42">
        <v>0</v>
      </c>
      <c r="E62" s="42">
        <v>0</v>
      </c>
      <c r="F62" s="365">
        <f>G62+H62+I62+J62</f>
        <v>1</v>
      </c>
      <c r="G62" s="365">
        <f>1-1</f>
        <v>0</v>
      </c>
      <c r="H62" s="365">
        <f>0+1</f>
        <v>1</v>
      </c>
      <c r="I62" s="365">
        <v>0</v>
      </c>
      <c r="J62" s="1051">
        <v>0</v>
      </c>
      <c r="K62" s="297"/>
      <c r="L62" s="91"/>
      <c r="M62" s="780"/>
    </row>
    <row r="63" spans="1:13" s="4" customFormat="1" hidden="1" x14ac:dyDescent="0.2">
      <c r="A63" s="689">
        <v>53</v>
      </c>
      <c r="B63" s="59" t="s">
        <v>234</v>
      </c>
      <c r="C63" s="41" t="s">
        <v>102</v>
      </c>
      <c r="D63" s="42">
        <v>0</v>
      </c>
      <c r="E63" s="42">
        <v>0</v>
      </c>
      <c r="F63" s="365">
        <v>0</v>
      </c>
      <c r="G63" s="365">
        <v>0</v>
      </c>
      <c r="H63" s="365">
        <v>0</v>
      </c>
      <c r="I63" s="365">
        <v>0</v>
      </c>
      <c r="J63" s="1051">
        <v>0</v>
      </c>
      <c r="K63" s="297"/>
      <c r="L63" s="91"/>
      <c r="M63" s="780"/>
    </row>
    <row r="64" spans="1:13" s="4" customFormat="1" x14ac:dyDescent="0.2">
      <c r="A64" s="689">
        <v>54</v>
      </c>
      <c r="B64" s="76" t="s">
        <v>104</v>
      </c>
      <c r="C64" s="56" t="s">
        <v>105</v>
      </c>
      <c r="D64" s="43">
        <f t="shared" ref="D64:J64" si="6">D65+D66+D67</f>
        <v>0</v>
      </c>
      <c r="E64" s="43">
        <f t="shared" si="6"/>
        <v>0</v>
      </c>
      <c r="F64" s="364">
        <f t="shared" si="6"/>
        <v>0</v>
      </c>
      <c r="G64" s="364">
        <f t="shared" si="6"/>
        <v>0</v>
      </c>
      <c r="H64" s="364">
        <f t="shared" si="6"/>
        <v>0</v>
      </c>
      <c r="I64" s="364">
        <f t="shared" si="6"/>
        <v>0</v>
      </c>
      <c r="J64" s="980">
        <f t="shared" si="6"/>
        <v>0</v>
      </c>
      <c r="K64" s="296"/>
      <c r="L64" s="103"/>
      <c r="M64" s="781"/>
    </row>
    <row r="65" spans="1:13" s="4" customFormat="1" x14ac:dyDescent="0.2">
      <c r="A65" s="689">
        <v>55</v>
      </c>
      <c r="B65" s="768" t="s">
        <v>106</v>
      </c>
      <c r="C65" s="765" t="s">
        <v>107</v>
      </c>
      <c r="D65" s="661">
        <v>0</v>
      </c>
      <c r="E65" s="661">
        <v>0</v>
      </c>
      <c r="F65" s="808">
        <f>G65+H65+I65+J65</f>
        <v>0</v>
      </c>
      <c r="G65" s="611">
        <v>0</v>
      </c>
      <c r="H65" s="611">
        <v>0</v>
      </c>
      <c r="I65" s="611">
        <v>0</v>
      </c>
      <c r="J65" s="1052">
        <v>0</v>
      </c>
      <c r="K65" s="296"/>
      <c r="L65" s="103"/>
      <c r="M65" s="781"/>
    </row>
    <row r="66" spans="1:13" s="4" customFormat="1" hidden="1" x14ac:dyDescent="0.2">
      <c r="A66" s="689">
        <v>56</v>
      </c>
      <c r="B66" s="59" t="s">
        <v>108</v>
      </c>
      <c r="C66" s="41" t="s">
        <v>109</v>
      </c>
      <c r="D66" s="44">
        <f>E66+F66+G66+H66</f>
        <v>0</v>
      </c>
      <c r="E66" s="44">
        <f>F66+G66+H66+I66</f>
        <v>0</v>
      </c>
      <c r="F66" s="365">
        <f>G66+H66+I66+J66</f>
        <v>0</v>
      </c>
      <c r="G66" s="365">
        <v>0</v>
      </c>
      <c r="H66" s="365">
        <v>0</v>
      </c>
      <c r="I66" s="365">
        <v>0</v>
      </c>
      <c r="J66" s="1051">
        <v>0</v>
      </c>
      <c r="K66" s="297"/>
      <c r="L66" s="91"/>
      <c r="M66" s="780"/>
    </row>
    <row r="67" spans="1:13" s="4" customFormat="1" hidden="1" x14ac:dyDescent="0.2">
      <c r="A67" s="689">
        <v>57</v>
      </c>
      <c r="B67" s="59" t="s">
        <v>110</v>
      </c>
      <c r="C67" s="41" t="s">
        <v>111</v>
      </c>
      <c r="D67" s="42">
        <v>0</v>
      </c>
      <c r="E67" s="42">
        <v>0</v>
      </c>
      <c r="F67" s="364">
        <f>G67+H67+I67+J67</f>
        <v>0</v>
      </c>
      <c r="G67" s="365">
        <v>0</v>
      </c>
      <c r="H67" s="365">
        <v>0</v>
      </c>
      <c r="I67" s="365">
        <v>0</v>
      </c>
      <c r="J67" s="1051">
        <v>0</v>
      </c>
      <c r="K67" s="297"/>
      <c r="L67" s="91"/>
      <c r="M67" s="780"/>
    </row>
    <row r="68" spans="1:13" s="4" customFormat="1" hidden="1" x14ac:dyDescent="0.2">
      <c r="A68" s="689">
        <v>58</v>
      </c>
      <c r="B68" s="59" t="s">
        <v>235</v>
      </c>
      <c r="C68" s="41" t="s">
        <v>111</v>
      </c>
      <c r="D68" s="42">
        <v>0</v>
      </c>
      <c r="E68" s="42">
        <v>0</v>
      </c>
      <c r="F68" s="364">
        <f>G68+H68+I68+J68</f>
        <v>0</v>
      </c>
      <c r="G68" s="365">
        <v>0</v>
      </c>
      <c r="H68" s="365">
        <v>0</v>
      </c>
      <c r="I68" s="365">
        <v>0</v>
      </c>
      <c r="J68" s="1051">
        <v>0</v>
      </c>
      <c r="K68" s="297"/>
      <c r="L68" s="91"/>
      <c r="M68" s="780"/>
    </row>
    <row r="69" spans="1:13" s="4" customFormat="1" hidden="1" x14ac:dyDescent="0.2">
      <c r="A69" s="689">
        <v>59</v>
      </c>
      <c r="B69" s="77" t="s">
        <v>113</v>
      </c>
      <c r="C69" s="56" t="s">
        <v>114</v>
      </c>
      <c r="D69" s="53">
        <f>D70+D71</f>
        <v>0</v>
      </c>
      <c r="E69" s="53"/>
      <c r="F69" s="364">
        <f>F70+F71</f>
        <v>0</v>
      </c>
      <c r="G69" s="364">
        <f>G70+G71</f>
        <v>0</v>
      </c>
      <c r="H69" s="364">
        <f>H70+H71</f>
        <v>0</v>
      </c>
      <c r="I69" s="364">
        <f>I70+I71</f>
        <v>0</v>
      </c>
      <c r="J69" s="980">
        <f>J70+J71</f>
        <v>0</v>
      </c>
      <c r="K69" s="296"/>
      <c r="L69" s="103"/>
      <c r="M69" s="781"/>
    </row>
    <row r="70" spans="1:13" s="4" customFormat="1" hidden="1" x14ac:dyDescent="0.2">
      <c r="A70" s="689">
        <v>60</v>
      </c>
      <c r="B70" s="59" t="s">
        <v>115</v>
      </c>
      <c r="C70" s="41" t="s">
        <v>116</v>
      </c>
      <c r="D70" s="42"/>
      <c r="E70" s="42"/>
      <c r="F70" s="365"/>
      <c r="G70" s="365"/>
      <c r="H70" s="365"/>
      <c r="I70" s="365"/>
      <c r="J70" s="1051"/>
      <c r="K70" s="297"/>
      <c r="L70" s="91"/>
      <c r="M70" s="780"/>
    </row>
    <row r="71" spans="1:13" s="4" customFormat="1" hidden="1" x14ac:dyDescent="0.2">
      <c r="A71" s="689">
        <v>61</v>
      </c>
      <c r="B71" s="59" t="s">
        <v>117</v>
      </c>
      <c r="C71" s="41" t="s">
        <v>118</v>
      </c>
      <c r="D71" s="42"/>
      <c r="E71" s="42"/>
      <c r="F71" s="365"/>
      <c r="G71" s="365"/>
      <c r="H71" s="365"/>
      <c r="I71" s="365"/>
      <c r="J71" s="1051"/>
      <c r="K71" s="297"/>
      <c r="L71" s="91"/>
      <c r="M71" s="780"/>
    </row>
    <row r="72" spans="1:13" s="4" customFormat="1" hidden="1" x14ac:dyDescent="0.2">
      <c r="A72" s="689">
        <v>62</v>
      </c>
      <c r="B72" s="55" t="s">
        <v>119</v>
      </c>
      <c r="C72" s="56" t="s">
        <v>120</v>
      </c>
      <c r="D72" s="53"/>
      <c r="E72" s="53"/>
      <c r="F72" s="364"/>
      <c r="G72" s="364"/>
      <c r="H72" s="364"/>
      <c r="I72" s="364"/>
      <c r="J72" s="980"/>
      <c r="K72" s="296"/>
      <c r="L72" s="103"/>
      <c r="M72" s="781"/>
    </row>
    <row r="73" spans="1:13" s="4" customFormat="1" hidden="1" x14ac:dyDescent="0.2">
      <c r="A73" s="689">
        <v>63</v>
      </c>
      <c r="B73" s="55" t="s">
        <v>121</v>
      </c>
      <c r="C73" s="56" t="s">
        <v>122</v>
      </c>
      <c r="D73" s="53"/>
      <c r="E73" s="53"/>
      <c r="F73" s="364"/>
      <c r="G73" s="364"/>
      <c r="H73" s="364"/>
      <c r="I73" s="364"/>
      <c r="J73" s="980"/>
      <c r="K73" s="296"/>
      <c r="L73" s="103"/>
      <c r="M73" s="781"/>
    </row>
    <row r="74" spans="1:13" s="4" customFormat="1" hidden="1" x14ac:dyDescent="0.2">
      <c r="A74" s="689">
        <v>64</v>
      </c>
      <c r="B74" s="55" t="s">
        <v>123</v>
      </c>
      <c r="C74" s="56" t="s">
        <v>124</v>
      </c>
      <c r="D74" s="53"/>
      <c r="E74" s="53"/>
      <c r="F74" s="364"/>
      <c r="G74" s="364"/>
      <c r="H74" s="364"/>
      <c r="I74" s="364"/>
      <c r="J74" s="980"/>
      <c r="K74" s="296"/>
      <c r="L74" s="103"/>
      <c r="M74" s="781"/>
    </row>
    <row r="75" spans="1:13" s="4" customFormat="1" hidden="1" x14ac:dyDescent="0.2">
      <c r="A75" s="689">
        <v>65</v>
      </c>
      <c r="B75" s="55" t="s">
        <v>125</v>
      </c>
      <c r="C75" s="56" t="s">
        <v>126</v>
      </c>
      <c r="D75" s="53"/>
      <c r="E75" s="53"/>
      <c r="F75" s="364"/>
      <c r="G75" s="364"/>
      <c r="H75" s="364"/>
      <c r="I75" s="364"/>
      <c r="J75" s="980"/>
      <c r="K75" s="296"/>
      <c r="L75" s="103"/>
      <c r="M75" s="781"/>
    </row>
    <row r="76" spans="1:13" s="4" customFormat="1" x14ac:dyDescent="0.2">
      <c r="A76" s="689">
        <v>66</v>
      </c>
      <c r="B76" s="55" t="s">
        <v>127</v>
      </c>
      <c r="C76" s="56" t="s">
        <v>128</v>
      </c>
      <c r="D76" s="377">
        <f t="shared" ref="D76:J76" si="7">D77+D78</f>
        <v>0</v>
      </c>
      <c r="E76" s="377">
        <f t="shared" si="7"/>
        <v>0</v>
      </c>
      <c r="F76" s="377">
        <f t="shared" si="7"/>
        <v>3</v>
      </c>
      <c r="G76" s="377">
        <f t="shared" si="7"/>
        <v>2</v>
      </c>
      <c r="H76" s="377">
        <f t="shared" si="7"/>
        <v>1</v>
      </c>
      <c r="I76" s="377">
        <f t="shared" si="7"/>
        <v>0</v>
      </c>
      <c r="J76" s="1053">
        <f t="shared" si="7"/>
        <v>0</v>
      </c>
      <c r="K76" s="296"/>
      <c r="L76" s="103"/>
      <c r="M76" s="781"/>
    </row>
    <row r="77" spans="1:13" s="4" customFormat="1" hidden="1" x14ac:dyDescent="0.2">
      <c r="A77" s="689">
        <v>67</v>
      </c>
      <c r="B77" s="59" t="s">
        <v>129</v>
      </c>
      <c r="C77" s="41" t="s">
        <v>130</v>
      </c>
      <c r="D77" s="53"/>
      <c r="E77" s="53"/>
      <c r="F77" s="364">
        <f>G77+H77+I77+J77</f>
        <v>0</v>
      </c>
      <c r="G77" s="364"/>
      <c r="H77" s="364"/>
      <c r="I77" s="364"/>
      <c r="J77" s="980"/>
      <c r="K77" s="296"/>
      <c r="L77" s="103"/>
      <c r="M77" s="781"/>
    </row>
    <row r="78" spans="1:13" s="4" customFormat="1" x14ac:dyDescent="0.2">
      <c r="A78" s="689">
        <v>68</v>
      </c>
      <c r="B78" s="59" t="s">
        <v>131</v>
      </c>
      <c r="C78" s="56" t="s">
        <v>132</v>
      </c>
      <c r="D78" s="364">
        <f t="shared" ref="D78:J78" si="8">D79+D80+D81+D82+D83</f>
        <v>0</v>
      </c>
      <c r="E78" s="364">
        <f t="shared" si="8"/>
        <v>0</v>
      </c>
      <c r="F78" s="364">
        <f t="shared" si="8"/>
        <v>3</v>
      </c>
      <c r="G78" s="364">
        <f t="shared" si="8"/>
        <v>2</v>
      </c>
      <c r="H78" s="364">
        <f t="shared" si="8"/>
        <v>1</v>
      </c>
      <c r="I78" s="364">
        <f t="shared" si="8"/>
        <v>0</v>
      </c>
      <c r="J78" s="980">
        <f t="shared" si="8"/>
        <v>0</v>
      </c>
      <c r="K78" s="297"/>
      <c r="L78" s="91"/>
      <c r="M78" s="780"/>
    </row>
    <row r="79" spans="1:13" s="4" customFormat="1" ht="13.5" thickBot="1" x14ac:dyDescent="0.25">
      <c r="A79" s="693">
        <v>69</v>
      </c>
      <c r="B79" s="901" t="s">
        <v>357</v>
      </c>
      <c r="C79" s="844"/>
      <c r="D79" s="712">
        <v>0</v>
      </c>
      <c r="E79" s="712">
        <v>0</v>
      </c>
      <c r="F79" s="893">
        <f>G79+H79+I79+J79</f>
        <v>3</v>
      </c>
      <c r="G79" s="821">
        <f>3-1</f>
        <v>2</v>
      </c>
      <c r="H79" s="821">
        <f>2-1</f>
        <v>1</v>
      </c>
      <c r="I79" s="821">
        <f>2-2</f>
        <v>0</v>
      </c>
      <c r="J79" s="1054">
        <f>1-1</f>
        <v>0</v>
      </c>
      <c r="K79" s="1048"/>
      <c r="L79" s="1044"/>
      <c r="M79" s="1045"/>
    </row>
    <row r="80" spans="1:13" s="4" customFormat="1" ht="13.5" hidden="1" thickBot="1" x14ac:dyDescent="0.25">
      <c r="A80" s="820">
        <v>70</v>
      </c>
      <c r="B80" s="1037" t="s">
        <v>131</v>
      </c>
      <c r="C80" s="1038"/>
      <c r="D80" s="1039">
        <v>0</v>
      </c>
      <c r="E80" s="1039">
        <v>0</v>
      </c>
      <c r="F80" s="1040">
        <f>G80+H80+I80+J80</f>
        <v>0</v>
      </c>
      <c r="G80" s="1040">
        <v>0</v>
      </c>
      <c r="H80" s="1040">
        <v>0</v>
      </c>
      <c r="I80" s="1040">
        <v>0</v>
      </c>
      <c r="J80" s="1040">
        <v>0</v>
      </c>
      <c r="K80" s="1041"/>
      <c r="L80" s="1042"/>
      <c r="M80" s="1043"/>
    </row>
    <row r="81" spans="1:13" s="4" customFormat="1" hidden="1" x14ac:dyDescent="0.2">
      <c r="A81" s="689">
        <v>71</v>
      </c>
      <c r="B81" s="302" t="s">
        <v>238</v>
      </c>
      <c r="C81" s="86"/>
      <c r="D81" s="270"/>
      <c r="E81" s="270"/>
      <c r="F81" s="798"/>
      <c r="G81" s="798"/>
      <c r="H81" s="798"/>
      <c r="I81" s="798"/>
      <c r="J81" s="798"/>
      <c r="K81" s="89"/>
      <c r="L81" s="88"/>
      <c r="M81" s="788"/>
    </row>
    <row r="82" spans="1:13" s="4" customFormat="1" hidden="1" x14ac:dyDescent="0.2">
      <c r="A82" s="689">
        <v>72</v>
      </c>
      <c r="B82" s="59" t="s">
        <v>134</v>
      </c>
      <c r="C82" s="41"/>
      <c r="D82" s="190"/>
      <c r="E82" s="190"/>
      <c r="F82" s="816"/>
      <c r="G82" s="816"/>
      <c r="H82" s="816"/>
      <c r="I82" s="816"/>
      <c r="J82" s="816"/>
      <c r="K82" s="250"/>
      <c r="L82" s="91"/>
      <c r="M82" s="780"/>
    </row>
    <row r="83" spans="1:13" s="4" customFormat="1" hidden="1" x14ac:dyDescent="0.2">
      <c r="A83" s="689">
        <v>73</v>
      </c>
      <c r="B83" s="59" t="s">
        <v>341</v>
      </c>
      <c r="C83" s="41"/>
      <c r="D83" s="190" t="s">
        <v>139</v>
      </c>
      <c r="E83" s="190" t="s">
        <v>139</v>
      </c>
      <c r="F83" s="365">
        <f>G83+H83+I83+J83</f>
        <v>0</v>
      </c>
      <c r="G83" s="365">
        <v>0</v>
      </c>
      <c r="H83" s="365">
        <f>6-6</f>
        <v>0</v>
      </c>
      <c r="I83" s="365">
        <f>5-5</f>
        <v>0</v>
      </c>
      <c r="J83" s="365">
        <f>4-4</f>
        <v>0</v>
      </c>
      <c r="K83" s="250"/>
      <c r="L83" s="91"/>
      <c r="M83" s="780"/>
    </row>
    <row r="84" spans="1:13" s="4" customFormat="1" hidden="1" x14ac:dyDescent="0.2">
      <c r="A84" s="689">
        <v>74</v>
      </c>
      <c r="B84" s="90" t="s">
        <v>239</v>
      </c>
      <c r="C84" s="41"/>
      <c r="D84" s="190"/>
      <c r="E84" s="190"/>
      <c r="F84" s="816"/>
      <c r="G84" s="816"/>
      <c r="H84" s="816"/>
      <c r="I84" s="816"/>
      <c r="J84" s="816"/>
      <c r="K84" s="250"/>
      <c r="L84" s="91"/>
      <c r="M84" s="780"/>
    </row>
    <row r="85" spans="1:13" s="4" customFormat="1" hidden="1" x14ac:dyDescent="0.2">
      <c r="A85" s="689">
        <v>75</v>
      </c>
      <c r="B85" s="90" t="s">
        <v>136</v>
      </c>
      <c r="C85" s="41"/>
      <c r="D85" s="190"/>
      <c r="E85" s="190"/>
      <c r="F85" s="816"/>
      <c r="G85" s="816"/>
      <c r="H85" s="816"/>
      <c r="I85" s="816"/>
      <c r="J85" s="816"/>
      <c r="K85" s="250"/>
      <c r="L85" s="91"/>
      <c r="M85" s="780"/>
    </row>
    <row r="86" spans="1:13" s="4" customFormat="1" hidden="1" x14ac:dyDescent="0.2">
      <c r="A86" s="689">
        <v>76</v>
      </c>
      <c r="B86" s="90" t="s">
        <v>137</v>
      </c>
      <c r="C86" s="41"/>
      <c r="D86" s="190"/>
      <c r="E86" s="190"/>
      <c r="F86" s="816"/>
      <c r="G86" s="816"/>
      <c r="H86" s="816"/>
      <c r="I86" s="816"/>
      <c r="J86" s="816"/>
      <c r="K86" s="250"/>
      <c r="L86" s="91"/>
      <c r="M86" s="780"/>
    </row>
    <row r="87" spans="1:13" s="4" customFormat="1" hidden="1" x14ac:dyDescent="0.2">
      <c r="A87" s="689">
        <v>77</v>
      </c>
      <c r="B87" s="90" t="s">
        <v>138</v>
      </c>
      <c r="C87" s="41"/>
      <c r="D87" s="190"/>
      <c r="E87" s="190"/>
      <c r="F87" s="816"/>
      <c r="G87" s="816"/>
      <c r="H87" s="816"/>
      <c r="I87" s="816"/>
      <c r="J87" s="816"/>
      <c r="K87" s="250"/>
      <c r="L87" s="91"/>
      <c r="M87" s="780"/>
    </row>
    <row r="88" spans="1:13" s="4" customFormat="1" ht="13.35" hidden="1" customHeight="1" x14ac:dyDescent="0.2">
      <c r="A88" s="689">
        <v>78</v>
      </c>
      <c r="B88" s="100" t="s">
        <v>140</v>
      </c>
      <c r="C88" s="56" t="s">
        <v>141</v>
      </c>
      <c r="D88" s="189"/>
      <c r="E88" s="189"/>
      <c r="F88" s="304"/>
      <c r="G88" s="304"/>
      <c r="H88" s="304"/>
      <c r="I88" s="304"/>
      <c r="J88" s="304"/>
      <c r="K88" s="104"/>
      <c r="L88" s="103"/>
      <c r="M88" s="781"/>
    </row>
    <row r="89" spans="1:13" s="4" customFormat="1" ht="38.25" hidden="1" customHeight="1" x14ac:dyDescent="0.2">
      <c r="A89" s="689">
        <v>79</v>
      </c>
      <c r="B89" s="100" t="s">
        <v>142</v>
      </c>
      <c r="C89" s="101" t="s">
        <v>143</v>
      </c>
      <c r="D89" s="263"/>
      <c r="E89" s="263"/>
      <c r="F89" s="304"/>
      <c r="G89" s="304"/>
      <c r="H89" s="304"/>
      <c r="I89" s="304"/>
      <c r="J89" s="304"/>
      <c r="K89" s="104"/>
      <c r="L89" s="103"/>
      <c r="M89" s="781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664"/>
      <c r="E90" s="664"/>
      <c r="F90" s="817"/>
      <c r="G90" s="817"/>
      <c r="H90" s="817"/>
      <c r="I90" s="817"/>
      <c r="J90" s="817"/>
      <c r="K90" s="109"/>
      <c r="L90" s="108"/>
      <c r="M90" s="864"/>
    </row>
    <row r="91" spans="1:13" s="4" customFormat="1" hidden="1" x14ac:dyDescent="0.2">
      <c r="A91" s="689">
        <v>81</v>
      </c>
      <c r="B91" s="35" t="s">
        <v>146</v>
      </c>
      <c r="C91" s="69" t="s">
        <v>147</v>
      </c>
      <c r="D91" s="401"/>
      <c r="E91" s="401"/>
      <c r="F91" s="818"/>
      <c r="G91" s="818"/>
      <c r="H91" s="818"/>
      <c r="I91" s="818"/>
      <c r="J91" s="818"/>
      <c r="K91" s="112"/>
      <c r="L91" s="111"/>
      <c r="M91" s="865"/>
    </row>
    <row r="92" spans="1:13" s="4" customFormat="1" hidden="1" x14ac:dyDescent="0.2">
      <c r="A92" s="689">
        <v>82</v>
      </c>
      <c r="B92" s="55" t="s">
        <v>148</v>
      </c>
      <c r="C92" s="56" t="s">
        <v>149</v>
      </c>
      <c r="D92" s="189"/>
      <c r="E92" s="189"/>
      <c r="F92" s="304">
        <f>F93</f>
        <v>0</v>
      </c>
      <c r="G92" s="304">
        <f>G93</f>
        <v>0</v>
      </c>
      <c r="H92" s="304">
        <f>H93</f>
        <v>0</v>
      </c>
      <c r="I92" s="304">
        <f>I93</f>
        <v>0</v>
      </c>
      <c r="J92" s="304">
        <f>J93</f>
        <v>0</v>
      </c>
      <c r="K92" s="104"/>
      <c r="L92" s="103"/>
      <c r="M92" s="781"/>
    </row>
    <row r="93" spans="1:13" s="4" customFormat="1" hidden="1" x14ac:dyDescent="0.2">
      <c r="A93" s="689">
        <v>83</v>
      </c>
      <c r="B93" s="115" t="s">
        <v>150</v>
      </c>
      <c r="C93" s="56" t="s">
        <v>151</v>
      </c>
      <c r="D93" s="189"/>
      <c r="E93" s="189"/>
      <c r="F93" s="304">
        <f>F94+F107</f>
        <v>0</v>
      </c>
      <c r="G93" s="304">
        <f>G94+G107</f>
        <v>0</v>
      </c>
      <c r="H93" s="304">
        <f>H94+H107</f>
        <v>0</v>
      </c>
      <c r="I93" s="304">
        <f>I94+I107</f>
        <v>0</v>
      </c>
      <c r="J93" s="304">
        <f>J94+J107</f>
        <v>0</v>
      </c>
      <c r="K93" s="104"/>
      <c r="L93" s="103"/>
      <c r="M93" s="781"/>
    </row>
    <row r="94" spans="1:13" s="4" customFormat="1" hidden="1" x14ac:dyDescent="0.2">
      <c r="A94" s="689">
        <v>84</v>
      </c>
      <c r="B94" s="115" t="s">
        <v>152</v>
      </c>
      <c r="C94" s="56" t="s">
        <v>153</v>
      </c>
      <c r="D94" s="189"/>
      <c r="E94" s="189"/>
      <c r="F94" s="304">
        <f>F95+F96+F97+F98+F100+F101</f>
        <v>0</v>
      </c>
      <c r="G94" s="304">
        <f>G95+G96+G97+G98+G100+G101</f>
        <v>0</v>
      </c>
      <c r="H94" s="304">
        <f>H95+H96+H97+H98+H100+H101</f>
        <v>0</v>
      </c>
      <c r="I94" s="304">
        <f>I95+I96+I97+I98+I100+I101</f>
        <v>0</v>
      </c>
      <c r="J94" s="304">
        <f>J95+J96+J97+J98+J100+J101</f>
        <v>0</v>
      </c>
      <c r="K94" s="104"/>
      <c r="L94" s="103"/>
      <c r="M94" s="781"/>
    </row>
    <row r="95" spans="1:13" s="4" customFormat="1" hidden="1" x14ac:dyDescent="0.2">
      <c r="A95" s="689">
        <v>85</v>
      </c>
      <c r="B95" s="116" t="s">
        <v>154</v>
      </c>
      <c r="C95" s="41"/>
      <c r="D95" s="190"/>
      <c r="E95" s="190"/>
      <c r="F95" s="304"/>
      <c r="G95" s="304"/>
      <c r="H95" s="304"/>
      <c r="I95" s="304"/>
      <c r="J95" s="304"/>
      <c r="K95" s="118"/>
      <c r="L95" s="103"/>
      <c r="M95" s="781"/>
    </row>
    <row r="96" spans="1:13" s="4" customFormat="1" hidden="1" x14ac:dyDescent="0.2">
      <c r="A96" s="689">
        <v>86</v>
      </c>
      <c r="B96" s="116" t="s">
        <v>155</v>
      </c>
      <c r="C96" s="41"/>
      <c r="D96" s="190"/>
      <c r="E96" s="190"/>
      <c r="F96" s="304"/>
      <c r="G96" s="304"/>
      <c r="H96" s="304"/>
      <c r="I96" s="304"/>
      <c r="J96" s="304"/>
      <c r="K96" s="118"/>
      <c r="L96" s="103"/>
      <c r="M96" s="781"/>
    </row>
    <row r="97" spans="1:13" s="4" customFormat="1" hidden="1" x14ac:dyDescent="0.2">
      <c r="A97" s="689">
        <v>87</v>
      </c>
      <c r="B97" s="116" t="s">
        <v>156</v>
      </c>
      <c r="C97" s="41"/>
      <c r="D97" s="190"/>
      <c r="E97" s="190"/>
      <c r="F97" s="304"/>
      <c r="G97" s="304"/>
      <c r="H97" s="304"/>
      <c r="I97" s="304"/>
      <c r="J97" s="304"/>
      <c r="K97" s="118"/>
      <c r="L97" s="103"/>
      <c r="M97" s="781"/>
    </row>
    <row r="98" spans="1:13" s="4" customFormat="1" hidden="1" x14ac:dyDescent="0.2">
      <c r="A98" s="689">
        <v>88</v>
      </c>
      <c r="B98" s="119" t="s">
        <v>157</v>
      </c>
      <c r="C98" s="41"/>
      <c r="D98" s="190"/>
      <c r="E98" s="190"/>
      <c r="F98" s="304"/>
      <c r="G98" s="304"/>
      <c r="H98" s="304"/>
      <c r="I98" s="304"/>
      <c r="J98" s="304"/>
      <c r="K98" s="118"/>
      <c r="L98" s="103"/>
      <c r="M98" s="781"/>
    </row>
    <row r="99" spans="1:13" s="4" customFormat="1" hidden="1" x14ac:dyDescent="0.2">
      <c r="A99" s="689">
        <v>89</v>
      </c>
      <c r="B99" s="120" t="s">
        <v>158</v>
      </c>
      <c r="C99" s="41"/>
      <c r="D99" s="190"/>
      <c r="E99" s="190"/>
      <c r="F99" s="304"/>
      <c r="G99" s="304"/>
      <c r="H99" s="304"/>
      <c r="I99" s="304"/>
      <c r="J99" s="304"/>
      <c r="K99" s="118"/>
      <c r="L99" s="103"/>
      <c r="M99" s="781"/>
    </row>
    <row r="100" spans="1:13" s="4" customFormat="1" hidden="1" x14ac:dyDescent="0.2">
      <c r="A100" s="689">
        <v>90</v>
      </c>
      <c r="B100" s="121" t="s">
        <v>159</v>
      </c>
      <c r="C100" s="41"/>
      <c r="D100" s="190"/>
      <c r="E100" s="190"/>
      <c r="F100" s="304"/>
      <c r="G100" s="304"/>
      <c r="H100" s="304"/>
      <c r="I100" s="304"/>
      <c r="J100" s="304"/>
      <c r="K100" s="118"/>
      <c r="L100" s="103"/>
      <c r="M100" s="781"/>
    </row>
    <row r="101" spans="1:13" s="4" customFormat="1" hidden="1" x14ac:dyDescent="0.2">
      <c r="A101" s="689">
        <v>91</v>
      </c>
      <c r="B101" s="122" t="s">
        <v>160</v>
      </c>
      <c r="C101" s="41"/>
      <c r="D101" s="190"/>
      <c r="E101" s="190"/>
      <c r="F101" s="304"/>
      <c r="G101" s="304"/>
      <c r="H101" s="304"/>
      <c r="I101" s="304"/>
      <c r="J101" s="304"/>
      <c r="K101" s="118"/>
      <c r="L101" s="103"/>
      <c r="M101" s="781"/>
    </row>
    <row r="102" spans="1:13" s="4" customFormat="1" hidden="1" x14ac:dyDescent="0.2">
      <c r="A102" s="689">
        <v>92</v>
      </c>
      <c r="B102" s="122" t="s">
        <v>161</v>
      </c>
      <c r="C102" s="41"/>
      <c r="D102" s="190"/>
      <c r="E102" s="190"/>
      <c r="F102" s="304"/>
      <c r="G102" s="304"/>
      <c r="H102" s="304"/>
      <c r="I102" s="304"/>
      <c r="J102" s="304"/>
      <c r="K102" s="104"/>
      <c r="L102" s="103"/>
      <c r="M102" s="781"/>
    </row>
    <row r="103" spans="1:13" s="4" customFormat="1" hidden="1" x14ac:dyDescent="0.2">
      <c r="A103" s="689">
        <v>93</v>
      </c>
      <c r="B103" s="320" t="s">
        <v>162</v>
      </c>
      <c r="C103" s="41"/>
      <c r="D103" s="190"/>
      <c r="E103" s="190"/>
      <c r="F103" s="304"/>
      <c r="G103" s="304"/>
      <c r="H103" s="304"/>
      <c r="I103" s="304"/>
      <c r="J103" s="304"/>
      <c r="K103" s="104"/>
      <c r="L103" s="103"/>
      <c r="M103" s="781"/>
    </row>
    <row r="104" spans="1:13" s="4" customFormat="1" hidden="1" x14ac:dyDescent="0.2">
      <c r="A104" s="689">
        <v>94</v>
      </c>
      <c r="B104" s="122" t="s">
        <v>163</v>
      </c>
      <c r="C104" s="41"/>
      <c r="D104" s="190"/>
      <c r="E104" s="190"/>
      <c r="F104" s="304"/>
      <c r="G104" s="304"/>
      <c r="H104" s="304"/>
      <c r="I104" s="304"/>
      <c r="J104" s="304"/>
      <c r="K104" s="104"/>
      <c r="L104" s="103"/>
      <c r="M104" s="781"/>
    </row>
    <row r="105" spans="1:13" s="4" customFormat="1" hidden="1" x14ac:dyDescent="0.2">
      <c r="A105" s="689">
        <v>95</v>
      </c>
      <c r="B105" s="122" t="s">
        <v>164</v>
      </c>
      <c r="C105" s="41"/>
      <c r="D105" s="190"/>
      <c r="E105" s="190"/>
      <c r="F105" s="304"/>
      <c r="G105" s="304"/>
      <c r="H105" s="304"/>
      <c r="I105" s="304"/>
      <c r="J105" s="304"/>
      <c r="K105" s="104"/>
      <c r="L105" s="103"/>
      <c r="M105" s="781"/>
    </row>
    <row r="106" spans="1:13" s="4" customFormat="1" hidden="1" x14ac:dyDescent="0.2">
      <c r="A106" s="689">
        <v>96</v>
      </c>
      <c r="B106" s="122"/>
      <c r="C106" s="41"/>
      <c r="D106" s="190"/>
      <c r="E106" s="190"/>
      <c r="F106" s="304"/>
      <c r="G106" s="304"/>
      <c r="H106" s="304"/>
      <c r="I106" s="304"/>
      <c r="J106" s="304"/>
      <c r="K106" s="104"/>
      <c r="L106" s="103"/>
      <c r="M106" s="781"/>
    </row>
    <row r="107" spans="1:13" s="4" customFormat="1" hidden="1" x14ac:dyDescent="0.2">
      <c r="A107" s="689">
        <v>97</v>
      </c>
      <c r="B107" s="123" t="s">
        <v>165</v>
      </c>
      <c r="C107" s="56" t="s">
        <v>166</v>
      </c>
      <c r="D107" s="189"/>
      <c r="E107" s="189"/>
      <c r="F107" s="304">
        <f>F108+F109+F110</f>
        <v>0</v>
      </c>
      <c r="G107" s="304">
        <f>G108+G109+G110</f>
        <v>0</v>
      </c>
      <c r="H107" s="304">
        <f>H108+H109+H110</f>
        <v>0</v>
      </c>
      <c r="I107" s="304">
        <f>I108+I109+I110</f>
        <v>0</v>
      </c>
      <c r="J107" s="304">
        <f>J108+J109+J110</f>
        <v>0</v>
      </c>
      <c r="K107" s="104"/>
      <c r="L107" s="103"/>
      <c r="M107" s="781"/>
    </row>
    <row r="108" spans="1:13" s="4" customFormat="1" hidden="1" x14ac:dyDescent="0.2">
      <c r="A108" s="689">
        <v>98</v>
      </c>
      <c r="B108" s="124" t="s">
        <v>167</v>
      </c>
      <c r="C108" s="41"/>
      <c r="D108" s="190"/>
      <c r="E108" s="190"/>
      <c r="F108" s="304"/>
      <c r="G108" s="304"/>
      <c r="H108" s="304"/>
      <c r="I108" s="304"/>
      <c r="J108" s="304"/>
      <c r="K108" s="118"/>
      <c r="L108" s="103"/>
      <c r="M108" s="781"/>
    </row>
    <row r="109" spans="1:13" s="4" customFormat="1" hidden="1" x14ac:dyDescent="0.2">
      <c r="A109" s="689">
        <v>99</v>
      </c>
      <c r="B109" s="125" t="s">
        <v>168</v>
      </c>
      <c r="C109" s="41"/>
      <c r="D109" s="190"/>
      <c r="E109" s="190"/>
      <c r="F109" s="304"/>
      <c r="G109" s="304"/>
      <c r="H109" s="304"/>
      <c r="I109" s="304"/>
      <c r="J109" s="304"/>
      <c r="K109" s="118"/>
      <c r="L109" s="103"/>
      <c r="M109" s="781"/>
    </row>
    <row r="110" spans="1:13" s="4" customFormat="1" hidden="1" x14ac:dyDescent="0.2">
      <c r="A110" s="689">
        <v>100</v>
      </c>
      <c r="B110" s="116" t="s">
        <v>169</v>
      </c>
      <c r="C110" s="41"/>
      <c r="D110" s="190"/>
      <c r="E110" s="190"/>
      <c r="F110" s="304"/>
      <c r="G110" s="304"/>
      <c r="H110" s="304"/>
      <c r="I110" s="304"/>
      <c r="J110" s="304"/>
      <c r="K110" s="118"/>
      <c r="L110" s="103"/>
      <c r="M110" s="781"/>
    </row>
    <row r="111" spans="1:13" s="4" customFormat="1" hidden="1" x14ac:dyDescent="0.2">
      <c r="A111" s="689">
        <v>101</v>
      </c>
      <c r="B111" s="116" t="s">
        <v>170</v>
      </c>
      <c r="C111" s="41"/>
      <c r="D111" s="190"/>
      <c r="E111" s="190"/>
      <c r="F111" s="304"/>
      <c r="G111" s="304"/>
      <c r="H111" s="304"/>
      <c r="I111" s="304"/>
      <c r="J111" s="304"/>
      <c r="K111" s="104"/>
      <c r="L111" s="103"/>
      <c r="M111" s="781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263"/>
      <c r="E112" s="263"/>
      <c r="F112" s="304">
        <f>F117</f>
        <v>0</v>
      </c>
      <c r="G112" s="304">
        <f>G117</f>
        <v>0</v>
      </c>
      <c r="H112" s="304">
        <f>H117</f>
        <v>0</v>
      </c>
      <c r="I112" s="304">
        <f>I117</f>
        <v>0</v>
      </c>
      <c r="J112" s="304">
        <f>J117</f>
        <v>0</v>
      </c>
      <c r="K112" s="104"/>
      <c r="L112" s="103"/>
      <c r="M112" s="781"/>
    </row>
    <row r="113" spans="1:13" s="4" customFormat="1" hidden="1" x14ac:dyDescent="0.2">
      <c r="A113" s="689">
        <v>103</v>
      </c>
      <c r="B113" s="320" t="s">
        <v>127</v>
      </c>
      <c r="C113" s="56" t="s">
        <v>173</v>
      </c>
      <c r="D113" s="189"/>
      <c r="E113" s="189"/>
      <c r="F113" s="304"/>
      <c r="G113" s="304"/>
      <c r="H113" s="304"/>
      <c r="I113" s="304"/>
      <c r="J113" s="304"/>
      <c r="K113" s="118"/>
      <c r="L113" s="103"/>
      <c r="M113" s="781"/>
    </row>
    <row r="114" spans="1:13" s="4" customFormat="1" hidden="1" x14ac:dyDescent="0.2">
      <c r="A114" s="689">
        <v>104</v>
      </c>
      <c r="B114" s="73" t="s">
        <v>174</v>
      </c>
      <c r="C114" s="56"/>
      <c r="D114" s="189"/>
      <c r="E114" s="189"/>
      <c r="F114" s="304"/>
      <c r="G114" s="304"/>
      <c r="H114" s="304"/>
      <c r="I114" s="304"/>
      <c r="J114" s="304"/>
      <c r="K114" s="118"/>
      <c r="L114" s="103"/>
      <c r="M114" s="781"/>
    </row>
    <row r="115" spans="1:13" s="4" customFormat="1" hidden="1" x14ac:dyDescent="0.2">
      <c r="A115" s="689">
        <v>105</v>
      </c>
      <c r="B115" s="73" t="s">
        <v>175</v>
      </c>
      <c r="C115" s="56"/>
      <c r="D115" s="189"/>
      <c r="E115" s="189"/>
      <c r="F115" s="304"/>
      <c r="G115" s="304"/>
      <c r="H115" s="304"/>
      <c r="I115" s="304"/>
      <c r="J115" s="304"/>
      <c r="K115" s="118"/>
      <c r="L115" s="103"/>
      <c r="M115" s="781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89"/>
      <c r="E116" s="189"/>
      <c r="F116" s="304"/>
      <c r="G116" s="304"/>
      <c r="H116" s="304"/>
      <c r="I116" s="304"/>
      <c r="J116" s="304"/>
      <c r="K116" s="118"/>
      <c r="L116" s="103"/>
      <c r="M116" s="781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665"/>
      <c r="E117" s="665"/>
      <c r="F117" s="819">
        <f>G117+H117+I117+J117</f>
        <v>0</v>
      </c>
      <c r="G117" s="819"/>
      <c r="H117" s="819"/>
      <c r="I117" s="819"/>
      <c r="J117" s="819"/>
      <c r="K117" s="131"/>
      <c r="L117" s="132"/>
      <c r="M117" s="785"/>
    </row>
    <row r="118" spans="1:13" s="135" customFormat="1" hidden="1" x14ac:dyDescent="0.2">
      <c r="A118" s="689">
        <v>108</v>
      </c>
      <c r="B118" s="24" t="s">
        <v>180</v>
      </c>
      <c r="C118" s="25"/>
      <c r="D118" s="313">
        <f t="shared" ref="D118:J118" si="9">D128</f>
        <v>0</v>
      </c>
      <c r="E118" s="313">
        <f t="shared" si="9"/>
        <v>0</v>
      </c>
      <c r="F118" s="313">
        <f t="shared" si="9"/>
        <v>0</v>
      </c>
      <c r="G118" s="313">
        <f t="shared" si="9"/>
        <v>0</v>
      </c>
      <c r="H118" s="313">
        <f t="shared" si="9"/>
        <v>0</v>
      </c>
      <c r="I118" s="313">
        <f t="shared" si="9"/>
        <v>0</v>
      </c>
      <c r="J118" s="313">
        <f t="shared" si="9"/>
        <v>0</v>
      </c>
      <c r="K118" s="98"/>
      <c r="L118" s="97"/>
      <c r="M118" s="784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378"/>
      <c r="E119" s="378"/>
      <c r="F119" s="364"/>
      <c r="G119" s="364"/>
      <c r="H119" s="364"/>
      <c r="I119" s="364"/>
      <c r="J119" s="364"/>
      <c r="K119" s="118"/>
      <c r="L119" s="103"/>
      <c r="M119" s="781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666"/>
      <c r="E120" s="666"/>
      <c r="F120" s="364"/>
      <c r="G120" s="364"/>
      <c r="H120" s="364"/>
      <c r="I120" s="364"/>
      <c r="J120" s="364"/>
      <c r="K120" s="118"/>
      <c r="L120" s="103"/>
      <c r="M120" s="781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667"/>
      <c r="E121" s="667"/>
      <c r="F121" s="364"/>
      <c r="G121" s="364"/>
      <c r="H121" s="364"/>
      <c r="I121" s="364"/>
      <c r="J121" s="364"/>
      <c r="K121" s="118"/>
      <c r="L121" s="103"/>
      <c r="M121" s="781"/>
    </row>
    <row r="122" spans="1:13" s="139" customFormat="1" hidden="1" x14ac:dyDescent="0.2">
      <c r="A122" s="689">
        <v>112</v>
      </c>
      <c r="B122" s="138" t="s">
        <v>187</v>
      </c>
      <c r="C122" s="56" t="s">
        <v>188</v>
      </c>
      <c r="D122" s="667"/>
      <c r="E122" s="667"/>
      <c r="F122" s="364"/>
      <c r="G122" s="364"/>
      <c r="H122" s="364"/>
      <c r="I122" s="364"/>
      <c r="J122" s="364"/>
      <c r="K122" s="104"/>
      <c r="L122" s="103"/>
      <c r="M122" s="781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667"/>
      <c r="E123" s="667"/>
      <c r="F123" s="364"/>
      <c r="G123" s="364"/>
      <c r="H123" s="364"/>
      <c r="I123" s="364"/>
      <c r="J123" s="364"/>
      <c r="K123" s="104"/>
      <c r="L123" s="103"/>
      <c r="M123" s="781"/>
    </row>
    <row r="124" spans="1:13" s="139" customFormat="1" hidden="1" x14ac:dyDescent="0.2">
      <c r="A124" s="689">
        <v>114</v>
      </c>
      <c r="B124" s="138" t="s">
        <v>191</v>
      </c>
      <c r="C124" s="41" t="s">
        <v>192</v>
      </c>
      <c r="D124" s="667"/>
      <c r="E124" s="667"/>
      <c r="F124" s="364"/>
      <c r="G124" s="364"/>
      <c r="H124" s="364"/>
      <c r="I124" s="364"/>
      <c r="J124" s="364"/>
      <c r="K124" s="104"/>
      <c r="L124" s="103"/>
      <c r="M124" s="781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667"/>
      <c r="E125" s="667"/>
      <c r="F125" s="364"/>
      <c r="G125" s="364"/>
      <c r="H125" s="364"/>
      <c r="I125" s="364"/>
      <c r="J125" s="364"/>
      <c r="K125" s="104"/>
      <c r="L125" s="103"/>
      <c r="M125" s="781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667"/>
      <c r="E126" s="667"/>
      <c r="F126" s="364"/>
      <c r="G126" s="364"/>
      <c r="H126" s="364"/>
      <c r="I126" s="364"/>
      <c r="J126" s="364"/>
      <c r="K126" s="104"/>
      <c r="L126" s="103"/>
      <c r="M126" s="781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667"/>
      <c r="E127" s="667"/>
      <c r="F127" s="364"/>
      <c r="G127" s="364"/>
      <c r="H127" s="364"/>
      <c r="I127" s="364"/>
      <c r="J127" s="364"/>
      <c r="K127" s="104"/>
      <c r="L127" s="103"/>
      <c r="M127" s="781"/>
    </row>
    <row r="128" spans="1:13" s="139" customFormat="1" ht="25.5" hidden="1" x14ac:dyDescent="0.2">
      <c r="A128" s="689">
        <v>118</v>
      </c>
      <c r="B128" s="314" t="s">
        <v>198</v>
      </c>
      <c r="C128" s="56" t="s">
        <v>199</v>
      </c>
      <c r="D128" s="315">
        <f t="shared" ref="D128:J128" si="10">D129+D131</f>
        <v>0</v>
      </c>
      <c r="E128" s="315">
        <f t="shared" si="10"/>
        <v>0</v>
      </c>
      <c r="F128" s="315">
        <f t="shared" si="10"/>
        <v>0</v>
      </c>
      <c r="G128" s="315">
        <f t="shared" si="10"/>
        <v>0</v>
      </c>
      <c r="H128" s="315">
        <f t="shared" si="10"/>
        <v>0</v>
      </c>
      <c r="I128" s="315">
        <f t="shared" si="10"/>
        <v>0</v>
      </c>
      <c r="J128" s="315">
        <f t="shared" si="10"/>
        <v>0</v>
      </c>
      <c r="K128" s="104"/>
      <c r="L128" s="103"/>
      <c r="M128" s="781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668">
        <v>0</v>
      </c>
      <c r="E129" s="668">
        <v>0</v>
      </c>
      <c r="F129" s="316">
        <f>G129+H129+I129+J129</f>
        <v>0</v>
      </c>
      <c r="G129" s="316">
        <v>0</v>
      </c>
      <c r="H129" s="316">
        <v>0</v>
      </c>
      <c r="I129" s="316">
        <v>0</v>
      </c>
      <c r="J129" s="316">
        <v>0</v>
      </c>
      <c r="K129" s="104"/>
      <c r="L129" s="103"/>
      <c r="M129" s="781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668"/>
      <c r="E130" s="668"/>
      <c r="F130" s="316">
        <f>G130+H130+I130+J130</f>
        <v>0</v>
      </c>
      <c r="G130" s="316"/>
      <c r="H130" s="316"/>
      <c r="I130" s="316"/>
      <c r="J130" s="316"/>
      <c r="K130" s="104"/>
      <c r="L130" s="103"/>
      <c r="M130" s="781"/>
    </row>
    <row r="131" spans="1:15" s="139" customFormat="1" ht="13.5" hidden="1" thickBot="1" x14ac:dyDescent="0.25">
      <c r="A131" s="689">
        <v>121</v>
      </c>
      <c r="B131" s="866" t="s">
        <v>204</v>
      </c>
      <c r="C131" s="844" t="s">
        <v>205</v>
      </c>
      <c r="D131" s="867">
        <v>0</v>
      </c>
      <c r="E131" s="867">
        <v>0</v>
      </c>
      <c r="F131" s="868">
        <f>G131+H131+I131+J131</f>
        <v>0</v>
      </c>
      <c r="G131" s="868">
        <v>0</v>
      </c>
      <c r="H131" s="868">
        <v>0</v>
      </c>
      <c r="I131" s="868">
        <v>0</v>
      </c>
      <c r="J131" s="868">
        <v>0</v>
      </c>
      <c r="K131" s="869"/>
      <c r="L131" s="870"/>
      <c r="M131" s="871"/>
    </row>
    <row r="132" spans="1:15" s="4" customFormat="1" hidden="1" x14ac:dyDescent="0.2">
      <c r="A132" s="689">
        <v>122</v>
      </c>
      <c r="B132" s="862" t="s">
        <v>206</v>
      </c>
      <c r="C132" s="69" t="s">
        <v>207</v>
      </c>
      <c r="D132" s="96"/>
      <c r="E132" s="96"/>
      <c r="F132" s="97">
        <f t="shared" ref="F132:J133" si="11">F133</f>
        <v>0</v>
      </c>
      <c r="G132" s="97">
        <f t="shared" si="11"/>
        <v>0</v>
      </c>
      <c r="H132" s="97">
        <f t="shared" si="11"/>
        <v>0</v>
      </c>
      <c r="I132" s="97">
        <f t="shared" si="11"/>
        <v>0</v>
      </c>
      <c r="J132" s="97">
        <f t="shared" si="11"/>
        <v>0</v>
      </c>
      <c r="K132" s="98"/>
      <c r="L132" s="97"/>
      <c r="M132" s="99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103">
        <f t="shared" si="11"/>
        <v>0</v>
      </c>
      <c r="G133" s="103">
        <f t="shared" si="11"/>
        <v>0</v>
      </c>
      <c r="H133" s="103">
        <f t="shared" si="11"/>
        <v>0</v>
      </c>
      <c r="I133" s="103">
        <f t="shared" si="11"/>
        <v>0</v>
      </c>
      <c r="J133" s="103">
        <f t="shared" si="11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132" t="s">
        <v>388</v>
      </c>
      <c r="K143" s="1132"/>
      <c r="L143" s="1132"/>
      <c r="M143" s="1132"/>
      <c r="N143" s="156"/>
      <c r="O143" s="6"/>
    </row>
    <row r="144" spans="1:15" ht="12.75" customHeight="1" x14ac:dyDescent="0.2">
      <c r="J144" s="152" t="s">
        <v>389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32"/>
      <c r="J146" s="1132"/>
      <c r="K146" s="1132"/>
      <c r="L146" s="1132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E9:E10"/>
    <mergeCell ref="F9:F10"/>
    <mergeCell ref="G9:J9"/>
    <mergeCell ref="K9:M9"/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81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F11A-C7AB-40A9-A4A1-8A5A81021DE8}">
  <dimension ref="A1:P169"/>
  <sheetViews>
    <sheetView topLeftCell="A47" workbookViewId="0">
      <selection activeCell="F14" sqref="F14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7109375" style="1" customWidth="1"/>
    <col min="5" max="5" width="8.71093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B6" s="1119" t="s">
        <v>243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47" t="s">
        <v>6</v>
      </c>
      <c r="B9" s="1149" t="s">
        <v>7</v>
      </c>
      <c r="C9" s="1151" t="s">
        <v>8</v>
      </c>
      <c r="D9" s="1151" t="s">
        <v>379</v>
      </c>
      <c r="E9" s="1151"/>
      <c r="F9" s="1153" t="s">
        <v>380</v>
      </c>
      <c r="G9" s="1155" t="s">
        <v>12</v>
      </c>
      <c r="H9" s="1155"/>
      <c r="I9" s="1155"/>
      <c r="J9" s="1155"/>
      <c r="K9" s="1145" t="s">
        <v>13</v>
      </c>
      <c r="L9" s="1145"/>
      <c r="M9" s="1146"/>
    </row>
    <row r="10" spans="1:14" s="4" customFormat="1" ht="48" customHeight="1" thickBot="1" x14ac:dyDescent="0.25">
      <c r="A10" s="1148"/>
      <c r="B10" s="1150"/>
      <c r="C10" s="1152"/>
      <c r="D10" s="1152"/>
      <c r="E10" s="1152"/>
      <c r="F10" s="1154"/>
      <c r="G10" s="1055" t="s">
        <v>14</v>
      </c>
      <c r="H10" s="1055" t="s">
        <v>15</v>
      </c>
      <c r="I10" s="1055" t="s">
        <v>16</v>
      </c>
      <c r="J10" s="1055" t="s">
        <v>17</v>
      </c>
      <c r="K10" s="1055">
        <v>2026</v>
      </c>
      <c r="L10" s="1056">
        <v>2027</v>
      </c>
      <c r="M10" s="1057">
        <v>2028</v>
      </c>
    </row>
    <row r="11" spans="1:14" s="4" customFormat="1" ht="27" customHeight="1" x14ac:dyDescent="0.2">
      <c r="A11" s="1058" t="s">
        <v>18</v>
      </c>
      <c r="B11" s="1059" t="s">
        <v>19</v>
      </c>
      <c r="C11" s="1060"/>
      <c r="D11" s="1061">
        <f>ASTRA!D11+'VIOLE. DOM'!D11+'CCI+CARIEREI'!D11</f>
        <v>0</v>
      </c>
      <c r="E11" s="1061">
        <f>ASTRA!E11+'VIOLE. DOM'!E11+'CCI+CARIEREI'!E11</f>
        <v>0</v>
      </c>
      <c r="F11" s="1062">
        <f>ASTRA!F11+'VIOLE. DOM'!F11+'CCI+CARIEREI'!F11</f>
        <v>2134.65</v>
      </c>
      <c r="G11" s="1062">
        <f>ASTRA!G11+'VIOLE. DOM'!G11+'CCI+CARIEREI'!G11</f>
        <v>559</v>
      </c>
      <c r="H11" s="1062">
        <f>ASTRA!H11+'VIOLE. DOM'!H11+'CCI+CARIEREI'!H11</f>
        <v>523.65</v>
      </c>
      <c r="I11" s="1062">
        <f>ASTRA!I11+'VIOLE. DOM'!I11+'CCI+CARIEREI'!I11</f>
        <v>530</v>
      </c>
      <c r="J11" s="1062">
        <f>ASTRA!J11+'VIOLE. DOM'!J11+'CCI+CARIEREI'!J11</f>
        <v>522</v>
      </c>
      <c r="K11" s="1061">
        <f>ASTRA!K11+'VIOLE. DOM'!K11+'CCI+CARIEREI'!K11-1</f>
        <v>1940.5827999999999</v>
      </c>
      <c r="L11" s="1061">
        <f>ASTRA!L11+'VIOLE. DOM'!L11+'CCI+CARIEREI'!L11+1</f>
        <v>1948.2137499999999</v>
      </c>
      <c r="M11" s="1102">
        <f>ASTRA!M11+'VIOLE. DOM'!M11+'CCI+CARIEREI'!M11</f>
        <v>1952.9617000000001</v>
      </c>
    </row>
    <row r="12" spans="1:14" s="4" customFormat="1" ht="22.5" customHeight="1" x14ac:dyDescent="0.2">
      <c r="A12" s="1063">
        <v>2</v>
      </c>
      <c r="B12" s="1064" t="s">
        <v>20</v>
      </c>
      <c r="C12" s="1065"/>
      <c r="D12" s="1066">
        <f>ASTRA!D12+'VIOLE. DOM'!D12+'CCI+CARIEREI'!D12</f>
        <v>0</v>
      </c>
      <c r="E12" s="1066">
        <f>ASTRA!E12+'VIOLE. DOM'!E12+'CCI+CARIEREI'!E12</f>
        <v>0</v>
      </c>
      <c r="F12" s="1067">
        <f>ASTRA!F12+'VIOLE. DOM'!F12+'CCI+CARIEREI'!F12</f>
        <v>2134.65</v>
      </c>
      <c r="G12" s="1062">
        <f>ASTRA!G12+'VIOLE. DOM'!G12+'CCI+CARIEREI'!G12</f>
        <v>559</v>
      </c>
      <c r="H12" s="1062">
        <f>ASTRA!H12+'VIOLE. DOM'!H12+'CCI+CARIEREI'!H12</f>
        <v>523.65</v>
      </c>
      <c r="I12" s="1062">
        <f>ASTRA!I12+'VIOLE. DOM'!I12+'CCI+CARIEREI'!I12</f>
        <v>530</v>
      </c>
      <c r="J12" s="1062">
        <f>ASTRA!J12+'VIOLE. DOM'!J12+'CCI+CARIEREI'!J12</f>
        <v>522</v>
      </c>
      <c r="K12" s="1066">
        <f>ASTRA!K12+'VIOLE. DOM'!K12+'CCI+CARIEREI'!K12-1</f>
        <v>1940.5827999999999</v>
      </c>
      <c r="L12" s="1066">
        <f>ASTRA!L12+'VIOLE. DOM'!L12+'CCI+CARIEREI'!L12+1</f>
        <v>1948.2137499999999</v>
      </c>
      <c r="M12" s="1073">
        <f>ASTRA!M12+'VIOLE. DOM'!M12+'CCI+CARIEREI'!M12</f>
        <v>1952.9617000000001</v>
      </c>
    </row>
    <row r="13" spans="1:14" s="4" customFormat="1" x14ac:dyDescent="0.2">
      <c r="A13" s="1068">
        <v>3</v>
      </c>
      <c r="B13" s="1069" t="s">
        <v>21</v>
      </c>
      <c r="C13" s="952" t="s">
        <v>22</v>
      </c>
      <c r="D13" s="1066">
        <f>ASTRA!D13+'VIOLE. DOM'!D13+'CCI+CARIEREI'!D13</f>
        <v>0</v>
      </c>
      <c r="E13" s="1066">
        <f>ASTRA!E13+'VIOLE. DOM'!E13+'CCI+CARIEREI'!E13</f>
        <v>0</v>
      </c>
      <c r="F13" s="1067">
        <f>ASTRA!F13+'VIOLE. DOM'!F13+'CCI+CARIEREI'!F13</f>
        <v>2134.65</v>
      </c>
      <c r="G13" s="1062">
        <f>ASTRA!G13+'VIOLE. DOM'!G13+'CCI+CARIEREI'!G13</f>
        <v>559</v>
      </c>
      <c r="H13" s="1062">
        <f>ASTRA!H13+'VIOLE. DOM'!H13+'CCI+CARIEREI'!H13</f>
        <v>523.65</v>
      </c>
      <c r="I13" s="1062">
        <f>ASTRA!I13+'VIOLE. DOM'!I13+'CCI+CARIEREI'!I13</f>
        <v>530</v>
      </c>
      <c r="J13" s="1062">
        <f>ASTRA!J13+'VIOLE. DOM'!J13+'CCI+CARIEREI'!J13</f>
        <v>522</v>
      </c>
      <c r="K13" s="1066">
        <f>ASTRA!K13+'VIOLE. DOM'!K13+'CCI+CARIEREI'!K13-1</f>
        <v>1940.5827999999999</v>
      </c>
      <c r="L13" s="1066">
        <f>ASTRA!L13+'VIOLE. DOM'!L13+'CCI+CARIEREI'!L13+1</f>
        <v>1948.2137499999999</v>
      </c>
      <c r="M13" s="1073">
        <f>ASTRA!M13+'VIOLE. DOM'!M13+'CCI+CARIEREI'!M13</f>
        <v>1952.9617000000001</v>
      </c>
    </row>
    <row r="14" spans="1:14" s="4" customFormat="1" x14ac:dyDescent="0.2">
      <c r="A14" s="1068">
        <v>4</v>
      </c>
      <c r="B14" s="1070" t="s">
        <v>23</v>
      </c>
      <c r="C14" s="1071" t="s">
        <v>24</v>
      </c>
      <c r="D14" s="1066">
        <f>ASTRA!D14+'VIOLE. DOM'!D14+'CCI+CARIEREI'!D14</f>
        <v>0</v>
      </c>
      <c r="E14" s="1066">
        <f>ASTRA!E14+'VIOLE. DOM'!E14+'CCI+CARIEREI'!E14</f>
        <v>0</v>
      </c>
      <c r="F14" s="1067">
        <f>ASTRA!F14+'VIOLE. DOM'!F14+'CCI+CARIEREI'!F14</f>
        <v>1596</v>
      </c>
      <c r="G14" s="1062">
        <f>ASTRA!G14+'VIOLE. DOM'!G14+'CCI+CARIEREI'!G14</f>
        <v>340</v>
      </c>
      <c r="H14" s="1062">
        <f>ASTRA!H14+'VIOLE. DOM'!H14+'CCI+CARIEREI'!H14</f>
        <v>356</v>
      </c>
      <c r="I14" s="1062">
        <f>ASTRA!I14+'VIOLE. DOM'!I14+'CCI+CARIEREI'!I14</f>
        <v>447</v>
      </c>
      <c r="J14" s="1062">
        <f>ASTRA!J14+'VIOLE. DOM'!J14+'CCI+CARIEREI'!J14</f>
        <v>453</v>
      </c>
      <c r="K14" s="1066">
        <f>ASTRA!K14+'VIOLE. DOM'!K14+'CCI+CARIEREI'!K14</f>
        <v>1397.1689999999999</v>
      </c>
      <c r="L14" s="1066">
        <f>ASTRA!L14+'VIOLE. DOM'!L14+'CCI+CARIEREI'!L14</f>
        <v>1401.7090000000001</v>
      </c>
      <c r="M14" s="1073">
        <f>ASTRA!M14+'VIOLE. DOM'!M14+'CCI+CARIEREI'!M14</f>
        <v>1404.616</v>
      </c>
    </row>
    <row r="15" spans="1:14" s="4" customFormat="1" x14ac:dyDescent="0.2">
      <c r="A15" s="1068">
        <v>5</v>
      </c>
      <c r="B15" s="1072" t="s">
        <v>25</v>
      </c>
      <c r="C15" s="1071" t="s">
        <v>26</v>
      </c>
      <c r="D15" s="1066">
        <f>ASTRA!D15+'VIOLE. DOM'!D15+'CCI+CARIEREI'!D15</f>
        <v>0</v>
      </c>
      <c r="E15" s="1066">
        <f>ASTRA!E15+'VIOLE. DOM'!E15+'CCI+CARIEREI'!E15</f>
        <v>0</v>
      </c>
      <c r="F15" s="1067">
        <f>ASTRA!F15+'VIOLE. DOM'!F15+'CCI+CARIEREI'!F15</f>
        <v>1546</v>
      </c>
      <c r="G15" s="1062">
        <f>ASTRA!G15+'VIOLE. DOM'!G15+'CCI+CARIEREI'!G15</f>
        <v>332</v>
      </c>
      <c r="H15" s="1062">
        <f>ASTRA!H15+'VIOLE. DOM'!H15+'CCI+CARIEREI'!H15</f>
        <v>333</v>
      </c>
      <c r="I15" s="1062">
        <f>ASTRA!I15+'VIOLE. DOM'!I15+'CCI+CARIEREI'!I15</f>
        <v>438</v>
      </c>
      <c r="J15" s="1062">
        <f>ASTRA!J15+'VIOLE. DOM'!J15+'CCI+CARIEREI'!J15</f>
        <v>443</v>
      </c>
      <c r="K15" s="1066"/>
      <c r="L15" s="1066"/>
      <c r="M15" s="1073"/>
    </row>
    <row r="16" spans="1:14" s="4" customFormat="1" x14ac:dyDescent="0.2">
      <c r="A16" s="1068">
        <v>6</v>
      </c>
      <c r="B16" s="1074" t="s">
        <v>27</v>
      </c>
      <c r="C16" s="1075" t="s">
        <v>28</v>
      </c>
      <c r="D16" s="1066">
        <f>ASTRA!D16+'VIOLE. DOM'!D16+'CCI+CARIEREI'!D16</f>
        <v>0</v>
      </c>
      <c r="E16" s="1066">
        <f>ASTRA!E16+'VIOLE. DOM'!E16+'CCI+CARIEREI'!E16</f>
        <v>0</v>
      </c>
      <c r="F16" s="1067">
        <f>ASTRA!F16+'VIOLE. DOM'!F16+'CCI+CARIEREI'!F16</f>
        <v>1223</v>
      </c>
      <c r="G16" s="1062">
        <f>ASTRA!G16+'VIOLE. DOM'!G16+'CCI+CARIEREI'!G16</f>
        <v>291</v>
      </c>
      <c r="H16" s="1062">
        <f>ASTRA!H16+'VIOLE. DOM'!H16+'CCI+CARIEREI'!H16</f>
        <v>291</v>
      </c>
      <c r="I16" s="1062">
        <f>ASTRA!I16+'VIOLE. DOM'!I16+'CCI+CARIEREI'!I16</f>
        <v>319</v>
      </c>
      <c r="J16" s="1062">
        <f>ASTRA!J16+'VIOLE. DOM'!J16+'CCI+CARIEREI'!J16</f>
        <v>322</v>
      </c>
      <c r="K16" s="1066"/>
      <c r="L16" s="1066"/>
      <c r="M16" s="1073"/>
    </row>
    <row r="17" spans="1:16" s="4" customFormat="1" x14ac:dyDescent="0.2">
      <c r="A17" s="1068">
        <v>7</v>
      </c>
      <c r="B17" s="1074" t="s">
        <v>29</v>
      </c>
      <c r="C17" s="1075" t="s">
        <v>30</v>
      </c>
      <c r="D17" s="1066">
        <f>ASTRA!D17+'VIOLE. DOM'!D17+'CCI+CARIEREI'!D17</f>
        <v>0</v>
      </c>
      <c r="E17" s="1066">
        <f>ASTRA!E17+'VIOLE. DOM'!E17+'CCI+CARIEREI'!E17</f>
        <v>0</v>
      </c>
      <c r="F17" s="1067">
        <f>ASTRA!F17+'VIOLE. DOM'!F17+'CCI+CARIEREI'!F17</f>
        <v>255</v>
      </c>
      <c r="G17" s="1062">
        <f>ASTRA!G17+'VIOLE. DOM'!G17+'CCI+CARIEREI'!G17</f>
        <v>24</v>
      </c>
      <c r="H17" s="1062">
        <f>ASTRA!H17+'VIOLE. DOM'!H17+'CCI+CARIEREI'!H17</f>
        <v>25</v>
      </c>
      <c r="I17" s="1062">
        <f>ASTRA!I17+'VIOLE. DOM'!I17+'CCI+CARIEREI'!I17</f>
        <v>103</v>
      </c>
      <c r="J17" s="1062">
        <f>ASTRA!J17+'VIOLE. DOM'!J17+'CCI+CARIEREI'!J17</f>
        <v>103</v>
      </c>
      <c r="K17" s="1066"/>
      <c r="L17" s="1066"/>
      <c r="M17" s="1073"/>
      <c r="P17" s="48"/>
    </row>
    <row r="18" spans="1:16" s="4" customFormat="1" hidden="1" x14ac:dyDescent="0.2">
      <c r="A18" s="1068">
        <v>8</v>
      </c>
      <c r="B18" s="1074" t="s">
        <v>31</v>
      </c>
      <c r="C18" s="1075" t="s">
        <v>32</v>
      </c>
      <c r="D18" s="1066">
        <f>ASTRA!D18+'VIOLE. DOM'!D18+'CCI+CARIEREI'!D18</f>
        <v>0</v>
      </c>
      <c r="E18" s="1066">
        <f>ASTRA!E18+'VIOLE. DOM'!E18+'CCI+CARIEREI'!E18</f>
        <v>0</v>
      </c>
      <c r="F18" s="1067">
        <f>ASTRA!F18+'VIOLE. DOM'!F18+'CCI+CARIEREI'!F18</f>
        <v>0</v>
      </c>
      <c r="G18" s="1062">
        <f>ASTRA!G18+'VIOLE. DOM'!G18+'CCI+CARIEREI'!G18</f>
        <v>0</v>
      </c>
      <c r="H18" s="1062">
        <f>ASTRA!H18+'VIOLE. DOM'!H18+'CCI+CARIEREI'!H18</f>
        <v>0</v>
      </c>
      <c r="I18" s="1062">
        <f>ASTRA!I18+'VIOLE. DOM'!I18+'CCI+CARIEREI'!I18</f>
        <v>0</v>
      </c>
      <c r="J18" s="1062">
        <f>ASTRA!J18+'VIOLE. DOM'!J18+'CCI+CARIEREI'!J18</f>
        <v>0</v>
      </c>
      <c r="K18" s="1066"/>
      <c r="L18" s="1066"/>
      <c r="M18" s="1073"/>
      <c r="P18" s="48"/>
    </row>
    <row r="19" spans="1:16" s="4" customFormat="1" hidden="1" x14ac:dyDescent="0.2">
      <c r="A19" s="1068">
        <v>9</v>
      </c>
      <c r="B19" s="1076" t="s">
        <v>33</v>
      </c>
      <c r="C19" s="1077" t="s">
        <v>34</v>
      </c>
      <c r="D19" s="1066">
        <f>ASTRA!D19+'VIOLE. DOM'!D19+'CCI+CARIEREI'!D19</f>
        <v>0</v>
      </c>
      <c r="E19" s="1066">
        <f>ASTRA!E19+'VIOLE. DOM'!E19+'CCI+CARIEREI'!E19</f>
        <v>0</v>
      </c>
      <c r="F19" s="1067">
        <f>ASTRA!F19+'VIOLE. DOM'!F19+'CCI+CARIEREI'!F19</f>
        <v>0</v>
      </c>
      <c r="G19" s="1062">
        <f>ASTRA!G19+'VIOLE. DOM'!G19+'CCI+CARIEREI'!G19</f>
        <v>0</v>
      </c>
      <c r="H19" s="1062">
        <f>ASTRA!H19+'VIOLE. DOM'!H19+'CCI+CARIEREI'!H19</f>
        <v>0</v>
      </c>
      <c r="I19" s="1062">
        <f>ASTRA!I19+'VIOLE. DOM'!I19+'CCI+CARIEREI'!I19</f>
        <v>0</v>
      </c>
      <c r="J19" s="1062">
        <f>ASTRA!J19+'VIOLE. DOM'!J19+'CCI+CARIEREI'!J19</f>
        <v>0</v>
      </c>
      <c r="K19" s="1066"/>
      <c r="L19" s="1066"/>
      <c r="M19" s="1073"/>
      <c r="P19" s="48"/>
    </row>
    <row r="20" spans="1:16" s="4" customFormat="1" hidden="1" x14ac:dyDescent="0.2">
      <c r="A20" s="1068">
        <v>10</v>
      </c>
      <c r="B20" s="1074" t="s">
        <v>35</v>
      </c>
      <c r="C20" s="1075" t="s">
        <v>36</v>
      </c>
      <c r="D20" s="1066">
        <f>ASTRA!D20+'VIOLE. DOM'!D20+'CCI+CARIEREI'!D20</f>
        <v>0</v>
      </c>
      <c r="E20" s="1066">
        <f>ASTRA!E20+'VIOLE. DOM'!E20+'CCI+CARIEREI'!E20</f>
        <v>0</v>
      </c>
      <c r="F20" s="1067">
        <f>ASTRA!F20+'VIOLE. DOM'!F20+'CCI+CARIEREI'!F20</f>
        <v>0</v>
      </c>
      <c r="G20" s="1062">
        <f>ASTRA!G20+'VIOLE. DOM'!G20+'CCI+CARIEREI'!G20</f>
        <v>0</v>
      </c>
      <c r="H20" s="1062">
        <f>ASTRA!H20+'VIOLE. DOM'!H20+'CCI+CARIEREI'!H20</f>
        <v>0</v>
      </c>
      <c r="I20" s="1062">
        <f>ASTRA!I20+'VIOLE. DOM'!I20+'CCI+CARIEREI'!I20</f>
        <v>0</v>
      </c>
      <c r="J20" s="1062">
        <f>ASTRA!J20+'VIOLE. DOM'!J20+'CCI+CARIEREI'!J20</f>
        <v>0</v>
      </c>
      <c r="K20" s="1066"/>
      <c r="L20" s="1066"/>
      <c r="M20" s="1073"/>
      <c r="P20" s="48"/>
    </row>
    <row r="21" spans="1:16" s="4" customFormat="1" x14ac:dyDescent="0.2">
      <c r="A21" s="1068">
        <v>11</v>
      </c>
      <c r="B21" s="1074" t="s">
        <v>37</v>
      </c>
      <c r="C21" s="1075" t="s">
        <v>38</v>
      </c>
      <c r="D21" s="1066">
        <f>ASTRA!D21+'VIOLE. DOM'!D21+'CCI+CARIEREI'!D21</f>
        <v>0</v>
      </c>
      <c r="E21" s="1066">
        <f>ASTRA!E21+'VIOLE. DOM'!E21+'CCI+CARIEREI'!E21</f>
        <v>0</v>
      </c>
      <c r="F21" s="1067">
        <f>ASTRA!F21+'VIOLE. DOM'!F21+'CCI+CARIEREI'!F21</f>
        <v>68</v>
      </c>
      <c r="G21" s="1062">
        <f>ASTRA!G21+'VIOLE. DOM'!G21+'CCI+CARIEREI'!G21</f>
        <v>17</v>
      </c>
      <c r="H21" s="1062">
        <f>ASTRA!H21+'VIOLE. DOM'!H21+'CCI+CARIEREI'!H21</f>
        <v>17</v>
      </c>
      <c r="I21" s="1062">
        <f>ASTRA!I21+'VIOLE. DOM'!I21+'CCI+CARIEREI'!I21</f>
        <v>16</v>
      </c>
      <c r="J21" s="1062">
        <f>ASTRA!J21+'VIOLE. DOM'!J21+'CCI+CARIEREI'!J21</f>
        <v>18</v>
      </c>
      <c r="K21" s="1066"/>
      <c r="L21" s="1066"/>
      <c r="M21" s="1073"/>
      <c r="P21" s="48"/>
    </row>
    <row r="22" spans="1:16" s="4" customFormat="1" hidden="1" x14ac:dyDescent="0.2">
      <c r="A22" s="1068">
        <v>12</v>
      </c>
      <c r="B22" s="1074" t="s">
        <v>39</v>
      </c>
      <c r="C22" s="1075" t="s">
        <v>40</v>
      </c>
      <c r="D22" s="1066"/>
      <c r="E22" s="1066"/>
      <c r="F22" s="1067"/>
      <c r="G22" s="1062">
        <f>ASTRA!G22+'VIOLE. DOM'!G22+'CCI+CARIEREI'!G22</f>
        <v>0</v>
      </c>
      <c r="H22" s="1062">
        <f>ASTRA!H22+'VIOLE. DOM'!H22+'CCI+CARIEREI'!H22</f>
        <v>0</v>
      </c>
      <c r="I22" s="1062">
        <f>ASTRA!I22+'VIOLE. DOM'!I22+'CCI+CARIEREI'!I22</f>
        <v>0</v>
      </c>
      <c r="J22" s="1062">
        <f>ASTRA!J22+'VIOLE. DOM'!J22+'CCI+CARIEREI'!J22</f>
        <v>0</v>
      </c>
      <c r="K22" s="1066"/>
      <c r="L22" s="1066"/>
      <c r="M22" s="1073"/>
      <c r="P22" s="48"/>
    </row>
    <row r="23" spans="1:16" s="4" customFormat="1" x14ac:dyDescent="0.2">
      <c r="A23" s="1068">
        <v>13</v>
      </c>
      <c r="B23" s="1074" t="s">
        <v>41</v>
      </c>
      <c r="C23" s="1078" t="s">
        <v>42</v>
      </c>
      <c r="D23" s="1066">
        <f>ASTRA!D23+'VIOLE. DOM'!D23+'CCI+CARIEREI'!D23</f>
        <v>0</v>
      </c>
      <c r="E23" s="1066">
        <f>ASTRA!E23+'VIOLE. DOM'!E23+'CCI+CARIEREI'!E23</f>
        <v>0</v>
      </c>
      <c r="F23" s="1067">
        <f>ASTRA!F23+'VIOLE. DOM'!F23+'CCI+CARIEREI'!F23</f>
        <v>15</v>
      </c>
      <c r="G23" s="1062">
        <f>ASTRA!G23+'VIOLE. DOM'!G23+'CCI+CARIEREI'!G23</f>
        <v>0</v>
      </c>
      <c r="H23" s="1062">
        <f>ASTRA!H23+'VIOLE. DOM'!H23+'CCI+CARIEREI'!H23</f>
        <v>15</v>
      </c>
      <c r="I23" s="1062">
        <f>ASTRA!I23+'VIOLE. DOM'!I23+'CCI+CARIEREI'!I23</f>
        <v>0</v>
      </c>
      <c r="J23" s="1062">
        <f>ASTRA!J23+'VIOLE. DOM'!J23+'CCI+CARIEREI'!J23</f>
        <v>0</v>
      </c>
      <c r="K23" s="1066"/>
      <c r="L23" s="1066"/>
      <c r="M23" s="1073"/>
      <c r="P23" s="48"/>
    </row>
    <row r="24" spans="1:16" s="4" customFormat="1" x14ac:dyDescent="0.2">
      <c r="A24" s="1068">
        <v>14</v>
      </c>
      <c r="B24" s="1074" t="s">
        <v>43</v>
      </c>
      <c r="C24" s="1078" t="s">
        <v>44</v>
      </c>
      <c r="D24" s="1066">
        <f>ASTRA!D24+'VIOLE. DOM'!D24+'CCI+CARIEREI'!D24</f>
        <v>0</v>
      </c>
      <c r="E24" s="1066">
        <f>ASTRA!E24+'VIOLE. DOM'!E24+'CCI+CARIEREI'!E24</f>
        <v>0</v>
      </c>
      <c r="F24" s="1067">
        <f>ASTRA!F24+'VIOLE. DOM'!F24+'CCI+CARIEREI'!F24</f>
        <v>15</v>
      </c>
      <c r="G24" s="1062">
        <f>ASTRA!G24+'VIOLE. DOM'!G24+'CCI+CARIEREI'!G24</f>
        <v>0</v>
      </c>
      <c r="H24" s="1062">
        <f>ASTRA!H24+'VIOLE. DOM'!H24+'CCI+CARIEREI'!H24</f>
        <v>15</v>
      </c>
      <c r="I24" s="1062">
        <f>ASTRA!I24+'VIOLE. DOM'!I24+'CCI+CARIEREI'!I24</f>
        <v>0</v>
      </c>
      <c r="J24" s="1062">
        <f>ASTRA!J24+'VIOLE. DOM'!J24+'CCI+CARIEREI'!J24</f>
        <v>0</v>
      </c>
      <c r="K24" s="1066"/>
      <c r="L24" s="1066"/>
      <c r="M24" s="1073"/>
      <c r="P24" s="48"/>
    </row>
    <row r="25" spans="1:16" s="4" customFormat="1" hidden="1" x14ac:dyDescent="0.2">
      <c r="A25" s="1068">
        <v>15</v>
      </c>
      <c r="B25" s="1074" t="s">
        <v>230</v>
      </c>
      <c r="C25" s="1078" t="s">
        <v>231</v>
      </c>
      <c r="D25" s="1066">
        <f>ASTRA!D25+'VIOLE. DOM'!D25+'CCI+CARIEREI'!D25</f>
        <v>0</v>
      </c>
      <c r="E25" s="1066">
        <f>ASTRA!E25+'VIOLE. DOM'!E25+'CCI+CARIEREI'!E25</f>
        <v>0</v>
      </c>
      <c r="F25" s="1067">
        <f>ASTRA!F25+'VIOLE. DOM'!F25+'CCI+CARIEREI'!F25</f>
        <v>0</v>
      </c>
      <c r="G25" s="1062">
        <f>ASTRA!G25+'VIOLE. DOM'!G25+'CCI+CARIEREI'!G25</f>
        <v>0</v>
      </c>
      <c r="H25" s="1062">
        <f>ASTRA!H25+'VIOLE. DOM'!H25+'CCI+CARIEREI'!H25</f>
        <v>0</v>
      </c>
      <c r="I25" s="1062">
        <f>ASTRA!I25+'VIOLE. DOM'!I25+'CCI+CARIEREI'!I25</f>
        <v>0</v>
      </c>
      <c r="J25" s="1062">
        <f>ASTRA!J25+'VIOLE. DOM'!J25+'CCI+CARIEREI'!J25</f>
        <v>0</v>
      </c>
      <c r="K25" s="1066"/>
      <c r="L25" s="1066"/>
      <c r="M25" s="1073"/>
      <c r="P25" s="48"/>
    </row>
    <row r="26" spans="1:16" s="4" customFormat="1" x14ac:dyDescent="0.2">
      <c r="A26" s="1068">
        <v>16</v>
      </c>
      <c r="B26" s="1072" t="s">
        <v>45</v>
      </c>
      <c r="C26" s="1075" t="s">
        <v>46</v>
      </c>
      <c r="D26" s="1066">
        <f>ASTRA!D26+'VIOLE. DOM'!D26+'CCI+CARIEREI'!D26</f>
        <v>0</v>
      </c>
      <c r="E26" s="1066">
        <f>ASTRA!E26+'VIOLE. DOM'!E26+'CCI+CARIEREI'!E26</f>
        <v>0</v>
      </c>
      <c r="F26" s="1067">
        <f>ASTRA!F26+'VIOLE. DOM'!F26+'CCI+CARIEREI'!F26</f>
        <v>35</v>
      </c>
      <c r="G26" s="1062">
        <f>ASTRA!G26+'VIOLE. DOM'!G26+'CCI+CARIEREI'!G26</f>
        <v>8</v>
      </c>
      <c r="H26" s="1062">
        <f>ASTRA!H26+'VIOLE. DOM'!H26+'CCI+CARIEREI'!H26</f>
        <v>8</v>
      </c>
      <c r="I26" s="1062">
        <f>ASTRA!I26+'VIOLE. DOM'!I26+'CCI+CARIEREI'!I26</f>
        <v>9</v>
      </c>
      <c r="J26" s="1062">
        <f>ASTRA!J26+'VIOLE. DOM'!J26+'CCI+CARIEREI'!J26</f>
        <v>10</v>
      </c>
      <c r="K26" s="1066"/>
      <c r="L26" s="1066"/>
      <c r="M26" s="1073"/>
    </row>
    <row r="27" spans="1:16" s="4" customFormat="1" hidden="1" x14ac:dyDescent="0.2">
      <c r="A27" s="1068">
        <v>17</v>
      </c>
      <c r="B27" s="1072" t="s">
        <v>47</v>
      </c>
      <c r="C27" s="1075" t="s">
        <v>48</v>
      </c>
      <c r="D27" s="1066">
        <f>ASTRA!D27+'VIOLE. DOM'!D27+'CCI+CARIEREI'!D27</f>
        <v>0</v>
      </c>
      <c r="E27" s="1066">
        <f>ASTRA!E27+'VIOLE. DOM'!E27+'CCI+CARIEREI'!E27</f>
        <v>0</v>
      </c>
      <c r="F27" s="1067">
        <f>ASTRA!F27+'VIOLE. DOM'!F27+'CCI+CARIEREI'!F27</f>
        <v>0</v>
      </c>
      <c r="G27" s="1062">
        <f>ASTRA!G27+'VIOLE. DOM'!G27+'CCI+CARIEREI'!G27</f>
        <v>0</v>
      </c>
      <c r="H27" s="1062">
        <f>ASTRA!H27+'VIOLE. DOM'!H27+'CCI+CARIEREI'!H27</f>
        <v>0</v>
      </c>
      <c r="I27" s="1062">
        <f>ASTRA!I27+'VIOLE. DOM'!I27+'CCI+CARIEREI'!I27</f>
        <v>0</v>
      </c>
      <c r="J27" s="1062">
        <f>ASTRA!J27+'VIOLE. DOM'!J27+'CCI+CARIEREI'!J27</f>
        <v>0</v>
      </c>
      <c r="K27" s="1066"/>
      <c r="L27" s="1066"/>
      <c r="M27" s="1073"/>
    </row>
    <row r="28" spans="1:16" s="4" customFormat="1" hidden="1" x14ac:dyDescent="0.2">
      <c r="A28" s="1068">
        <v>18</v>
      </c>
      <c r="B28" s="1072" t="s">
        <v>49</v>
      </c>
      <c r="C28" s="1075" t="s">
        <v>50</v>
      </c>
      <c r="D28" s="1066">
        <f>ASTRA!D28+'VIOLE. DOM'!D28+'CCI+CARIEREI'!D28</f>
        <v>0</v>
      </c>
      <c r="E28" s="1066">
        <f>ASTRA!E28+'VIOLE. DOM'!E28+'CCI+CARIEREI'!E28</f>
        <v>0</v>
      </c>
      <c r="F28" s="1067">
        <f>ASTRA!F28+'VIOLE. DOM'!F28+'CCI+CARIEREI'!F28</f>
        <v>0</v>
      </c>
      <c r="G28" s="1062">
        <f>ASTRA!G28+'VIOLE. DOM'!G28+'CCI+CARIEREI'!G28</f>
        <v>0</v>
      </c>
      <c r="H28" s="1062">
        <f>ASTRA!H28+'VIOLE. DOM'!H28+'CCI+CARIEREI'!H28</f>
        <v>0</v>
      </c>
      <c r="I28" s="1062">
        <f>ASTRA!I28+'VIOLE. DOM'!I28+'CCI+CARIEREI'!I28</f>
        <v>0</v>
      </c>
      <c r="J28" s="1062">
        <f>ASTRA!J28+'VIOLE. DOM'!J28+'CCI+CARIEREI'!J28</f>
        <v>0</v>
      </c>
      <c r="K28" s="1066"/>
      <c r="L28" s="1066"/>
      <c r="M28" s="1073"/>
    </row>
    <row r="29" spans="1:16" s="4" customFormat="1" hidden="1" x14ac:dyDescent="0.2">
      <c r="A29" s="1068">
        <v>19</v>
      </c>
      <c r="B29" s="1072" t="s">
        <v>51</v>
      </c>
      <c r="C29" s="1075" t="s">
        <v>52</v>
      </c>
      <c r="D29" s="1066">
        <f>ASTRA!D29+'VIOLE. DOM'!D29+'CCI+CARIEREI'!D29</f>
        <v>0</v>
      </c>
      <c r="E29" s="1066">
        <f>ASTRA!E29+'VIOLE. DOM'!E29+'CCI+CARIEREI'!E29</f>
        <v>0</v>
      </c>
      <c r="F29" s="1067">
        <f>ASTRA!F29+'VIOLE. DOM'!F29+'CCI+CARIEREI'!F29</f>
        <v>0</v>
      </c>
      <c r="G29" s="1062">
        <f>ASTRA!G29+'VIOLE. DOM'!G29+'CCI+CARIEREI'!G29</f>
        <v>0</v>
      </c>
      <c r="H29" s="1062">
        <f>ASTRA!H29+'VIOLE. DOM'!H29+'CCI+CARIEREI'!H29</f>
        <v>0</v>
      </c>
      <c r="I29" s="1062">
        <f>ASTRA!I29+'VIOLE. DOM'!I29+'CCI+CARIEREI'!I29</f>
        <v>0</v>
      </c>
      <c r="J29" s="1062">
        <f>ASTRA!J29+'VIOLE. DOM'!J29+'CCI+CARIEREI'!J29</f>
        <v>0</v>
      </c>
      <c r="K29" s="1066"/>
      <c r="L29" s="1066"/>
      <c r="M29" s="1073"/>
    </row>
    <row r="30" spans="1:16" s="4" customFormat="1" ht="25.5" hidden="1" x14ac:dyDescent="0.2">
      <c r="A30" s="1068">
        <v>20</v>
      </c>
      <c r="B30" s="1079" t="s">
        <v>53</v>
      </c>
      <c r="C30" s="1080" t="s">
        <v>54</v>
      </c>
      <c r="D30" s="1066">
        <f>ASTRA!D30+'VIOLE. DOM'!D30+'CCI+CARIEREI'!D30</f>
        <v>0</v>
      </c>
      <c r="E30" s="1066">
        <f>ASTRA!E30+'VIOLE. DOM'!E30+'CCI+CARIEREI'!E30</f>
        <v>0</v>
      </c>
      <c r="F30" s="1067">
        <f>ASTRA!F30+'VIOLE. DOM'!F30+'CCI+CARIEREI'!F30</f>
        <v>0</v>
      </c>
      <c r="G30" s="1062">
        <f>ASTRA!G30+'VIOLE. DOM'!G30+'CCI+CARIEREI'!G30</f>
        <v>0</v>
      </c>
      <c r="H30" s="1062">
        <f>ASTRA!H30+'VIOLE. DOM'!H30+'CCI+CARIEREI'!H30</f>
        <v>0</v>
      </c>
      <c r="I30" s="1062">
        <f>ASTRA!I30+'VIOLE. DOM'!I30+'CCI+CARIEREI'!I30</f>
        <v>0</v>
      </c>
      <c r="J30" s="1062">
        <f>ASTRA!J30+'VIOLE. DOM'!J30+'CCI+CARIEREI'!J30</f>
        <v>0</v>
      </c>
      <c r="K30" s="1066"/>
      <c r="L30" s="1066"/>
      <c r="M30" s="1073"/>
    </row>
    <row r="31" spans="1:16" s="4" customFormat="1" hidden="1" x14ac:dyDescent="0.2">
      <c r="A31" s="1068">
        <v>21</v>
      </c>
      <c r="B31" s="1072" t="s">
        <v>55</v>
      </c>
      <c r="C31" s="1075" t="s">
        <v>56</v>
      </c>
      <c r="D31" s="1066">
        <f>ASTRA!D31+'VIOLE. DOM'!D31+'CCI+CARIEREI'!D31</f>
        <v>0</v>
      </c>
      <c r="E31" s="1066">
        <f>ASTRA!E31+'VIOLE. DOM'!E31+'CCI+CARIEREI'!E31</f>
        <v>0</v>
      </c>
      <c r="F31" s="1067">
        <f>ASTRA!F31+'VIOLE. DOM'!F31+'CCI+CARIEREI'!F31</f>
        <v>0</v>
      </c>
      <c r="G31" s="1062">
        <f>ASTRA!G31+'VIOLE. DOM'!G31+'CCI+CARIEREI'!G31</f>
        <v>0</v>
      </c>
      <c r="H31" s="1062">
        <f>ASTRA!H31+'VIOLE. DOM'!H31+'CCI+CARIEREI'!H31</f>
        <v>0</v>
      </c>
      <c r="I31" s="1062">
        <f>ASTRA!I31+'VIOLE. DOM'!I31+'CCI+CARIEREI'!I31</f>
        <v>0</v>
      </c>
      <c r="J31" s="1062">
        <f>ASTRA!J31+'VIOLE. DOM'!J31+'CCI+CARIEREI'!J31</f>
        <v>0</v>
      </c>
      <c r="K31" s="1066"/>
      <c r="L31" s="1066"/>
      <c r="M31" s="1073"/>
    </row>
    <row r="32" spans="1:16" s="4" customFormat="1" x14ac:dyDescent="0.2">
      <c r="A32" s="1068">
        <v>22</v>
      </c>
      <c r="B32" s="1072" t="s">
        <v>57</v>
      </c>
      <c r="C32" s="1075" t="s">
        <v>58</v>
      </c>
      <c r="D32" s="1066">
        <f>ASTRA!D32+'VIOLE. DOM'!D32+'CCI+CARIEREI'!D32</f>
        <v>0</v>
      </c>
      <c r="E32" s="1066">
        <f>ASTRA!E32+'VIOLE. DOM'!E32+'CCI+CARIEREI'!E32</f>
        <v>0</v>
      </c>
      <c r="F32" s="1067">
        <f>ASTRA!F32+'VIOLE. DOM'!F32+'CCI+CARIEREI'!F32</f>
        <v>35</v>
      </c>
      <c r="G32" s="1062">
        <f>ASTRA!G32+'VIOLE. DOM'!G32+'CCI+CARIEREI'!G32</f>
        <v>8</v>
      </c>
      <c r="H32" s="1062">
        <f>ASTRA!H32+'VIOLE. DOM'!H32+'CCI+CARIEREI'!H32</f>
        <v>8</v>
      </c>
      <c r="I32" s="1062">
        <f>ASTRA!I32+'VIOLE. DOM'!I32+'CCI+CARIEREI'!I32</f>
        <v>9</v>
      </c>
      <c r="J32" s="1062">
        <f>ASTRA!J32+'VIOLE. DOM'!J32+'CCI+CARIEREI'!J32</f>
        <v>10</v>
      </c>
      <c r="K32" s="1066"/>
      <c r="L32" s="1066"/>
      <c r="M32" s="1073"/>
    </row>
    <row r="33" spans="1:13" s="4" customFormat="1" hidden="1" x14ac:dyDescent="0.2">
      <c r="A33" s="1068">
        <v>23</v>
      </c>
      <c r="B33" s="1072" t="s">
        <v>59</v>
      </c>
      <c r="C33" s="1075" t="s">
        <v>60</v>
      </c>
      <c r="D33" s="1066">
        <f>ASTRA!D33+'VIOLE. DOM'!D33+'CCI+CARIEREI'!D33</f>
        <v>0</v>
      </c>
      <c r="E33" s="1066">
        <f>ASTRA!E33+'VIOLE. DOM'!E33+'CCI+CARIEREI'!E33</f>
        <v>0</v>
      </c>
      <c r="F33" s="1067">
        <f>ASTRA!F33+'VIOLE. DOM'!F33+'CCI+CARIEREI'!F33</f>
        <v>0</v>
      </c>
      <c r="G33" s="1062">
        <f>ASTRA!G33+'VIOLE. DOM'!G33+'CCI+CARIEREI'!G33</f>
        <v>0</v>
      </c>
      <c r="H33" s="1062">
        <f>ASTRA!H33+'VIOLE. DOM'!H33+'CCI+CARIEREI'!H33</f>
        <v>0</v>
      </c>
      <c r="I33" s="1062">
        <f>ASTRA!I33+'VIOLE. DOM'!I33+'CCI+CARIEREI'!I33</f>
        <v>0</v>
      </c>
      <c r="J33" s="1062">
        <f>ASTRA!J33+'VIOLE. DOM'!J33+'CCI+CARIEREI'!J33</f>
        <v>0</v>
      </c>
      <c r="K33" s="1066">
        <f>ASTRA!K33+'VIOLE. DOM'!K33</f>
        <v>0</v>
      </c>
      <c r="L33" s="1066">
        <f>ASTRA!L33+'VIOLE. DOM'!L33</f>
        <v>0</v>
      </c>
      <c r="M33" s="1073">
        <f>ASTRA!M33+'VIOLE. DOM'!M33</f>
        <v>0</v>
      </c>
    </row>
    <row r="34" spans="1:13" s="4" customFormat="1" ht="25.5" x14ac:dyDescent="0.2">
      <c r="A34" s="1068">
        <v>24</v>
      </c>
      <c r="B34" s="1081" t="s">
        <v>61</v>
      </c>
      <c r="C34" s="1082">
        <v>20</v>
      </c>
      <c r="D34" s="1066">
        <f>ASTRA!D34+'VIOLE. DOM'!D34+'CCI+CARIEREI'!D34</f>
        <v>0</v>
      </c>
      <c r="E34" s="1066">
        <f>ASTRA!E34+'VIOLE. DOM'!E34+'CCI+CARIEREI'!E34</f>
        <v>0</v>
      </c>
      <c r="F34" s="1067">
        <f>ASTRA!F34+'VIOLE. DOM'!F34+'CCI+CARIEREI'!F34</f>
        <v>538.65</v>
      </c>
      <c r="G34" s="1062">
        <f>ASTRA!G34+'VIOLE. DOM'!G34+'CCI+CARIEREI'!G34</f>
        <v>219</v>
      </c>
      <c r="H34" s="1062">
        <f>ASTRA!H34+'VIOLE. DOM'!H34+'CCI+CARIEREI'!H34</f>
        <v>167.65</v>
      </c>
      <c r="I34" s="1062">
        <f>ASTRA!I34+'VIOLE. DOM'!I34+'CCI+CARIEREI'!I34</f>
        <v>83</v>
      </c>
      <c r="J34" s="1062">
        <f>ASTRA!J34+'VIOLE. DOM'!J34+'CCI+CARIEREI'!J34</f>
        <v>69</v>
      </c>
      <c r="K34" s="1066">
        <f>ASTRA!K34+'VIOLE. DOM'!K34+'CCI+CARIEREI'!K34</f>
        <v>544.41380000000004</v>
      </c>
      <c r="L34" s="1066">
        <f>ASTRA!L34+'VIOLE. DOM'!L34+'CCI+CARIEREI'!L34</f>
        <v>545.50474999999994</v>
      </c>
      <c r="M34" s="1073">
        <f>ASTRA!M34+'VIOLE. DOM'!M34+'CCI+CARIEREI'!M34</f>
        <v>548.34569999999997</v>
      </c>
    </row>
    <row r="35" spans="1:13" s="4" customFormat="1" x14ac:dyDescent="0.2">
      <c r="A35" s="1068">
        <v>25</v>
      </c>
      <c r="B35" s="1070" t="s">
        <v>62</v>
      </c>
      <c r="C35" s="1075" t="s">
        <v>63</v>
      </c>
      <c r="D35" s="1066">
        <f>ASTRA!D35+'VIOLE. DOM'!D35+'CCI+CARIEREI'!D35</f>
        <v>0</v>
      </c>
      <c r="E35" s="1066">
        <f>ASTRA!E35+'VIOLE. DOM'!E35+'CCI+CARIEREI'!E35</f>
        <v>0</v>
      </c>
      <c r="F35" s="1067">
        <f>ASTRA!F35+'VIOLE. DOM'!F35+'CCI+CARIEREI'!F35</f>
        <v>198</v>
      </c>
      <c r="G35" s="1062">
        <f>ASTRA!G35+'VIOLE. DOM'!G35+'CCI+CARIEREI'!G35</f>
        <v>98</v>
      </c>
      <c r="H35" s="1062">
        <f>ASTRA!H35+'VIOLE. DOM'!H35+'CCI+CARIEREI'!H35</f>
        <v>48</v>
      </c>
      <c r="I35" s="1062">
        <f>ASTRA!I35+'VIOLE. DOM'!I35+'CCI+CARIEREI'!I35</f>
        <v>26</v>
      </c>
      <c r="J35" s="1062">
        <f>ASTRA!J35+'VIOLE. DOM'!J35+'CCI+CARIEREI'!J35</f>
        <v>26</v>
      </c>
      <c r="K35" s="1066"/>
      <c r="L35" s="1066"/>
      <c r="M35" s="1073"/>
    </row>
    <row r="36" spans="1:13" s="4" customFormat="1" x14ac:dyDescent="0.2">
      <c r="A36" s="1068">
        <v>26</v>
      </c>
      <c r="B36" s="1072" t="s">
        <v>64</v>
      </c>
      <c r="C36" s="1075" t="s">
        <v>65</v>
      </c>
      <c r="D36" s="1066">
        <f>ASTRA!D36+'VIOLE. DOM'!D36+'CCI+CARIEREI'!D36</f>
        <v>0</v>
      </c>
      <c r="E36" s="1066">
        <f>ASTRA!E36+'VIOLE. DOM'!E36+'CCI+CARIEREI'!E36</f>
        <v>0</v>
      </c>
      <c r="F36" s="1067">
        <f>ASTRA!F36+'VIOLE. DOM'!F36+'CCI+CARIEREI'!F36</f>
        <v>4</v>
      </c>
      <c r="G36" s="1062">
        <f>ASTRA!G36+'VIOLE. DOM'!G36+'CCI+CARIEREI'!G36</f>
        <v>4</v>
      </c>
      <c r="H36" s="1062">
        <f>ASTRA!H36+'VIOLE. DOM'!H36+'CCI+CARIEREI'!H36</f>
        <v>0</v>
      </c>
      <c r="I36" s="1062">
        <f>ASTRA!I36+'VIOLE. DOM'!I36+'CCI+CARIEREI'!I36</f>
        <v>0</v>
      </c>
      <c r="J36" s="1062">
        <f>ASTRA!J36+'VIOLE. DOM'!J36+'CCI+CARIEREI'!J36</f>
        <v>0</v>
      </c>
      <c r="K36" s="1066"/>
      <c r="L36" s="1066"/>
      <c r="M36" s="1073"/>
    </row>
    <row r="37" spans="1:13" s="4" customFormat="1" x14ac:dyDescent="0.2">
      <c r="A37" s="1068">
        <v>27</v>
      </c>
      <c r="B37" s="1072" t="s">
        <v>64</v>
      </c>
      <c r="C37" s="1075"/>
      <c r="D37" s="1066">
        <f>ASTRA!D37+'VIOLE. DOM'!D37+'CCI+CARIEREI'!D37</f>
        <v>0</v>
      </c>
      <c r="E37" s="1066">
        <f>ASTRA!E37+'VIOLE. DOM'!E37+'CCI+CARIEREI'!E37</f>
        <v>0</v>
      </c>
      <c r="F37" s="1067">
        <f>ASTRA!F37+'VIOLE. DOM'!F37+'CCI+CARIEREI'!F37</f>
        <v>4</v>
      </c>
      <c r="G37" s="1062">
        <f>ASTRA!G37+'VIOLE. DOM'!G37+'CCI+CARIEREI'!G37</f>
        <v>4</v>
      </c>
      <c r="H37" s="1062">
        <f>ASTRA!H37+'VIOLE. DOM'!H37+'CCI+CARIEREI'!H37</f>
        <v>0</v>
      </c>
      <c r="I37" s="1062">
        <f>ASTRA!I37+'VIOLE. DOM'!I37+'CCI+CARIEREI'!I37</f>
        <v>0</v>
      </c>
      <c r="J37" s="1062">
        <f>ASTRA!J37+'VIOLE. DOM'!J37+'CCI+CARIEREI'!J37</f>
        <v>0</v>
      </c>
      <c r="K37" s="1066"/>
      <c r="L37" s="1066"/>
      <c r="M37" s="1073"/>
    </row>
    <row r="38" spans="1:13" s="4" customFormat="1" hidden="1" x14ac:dyDescent="0.2">
      <c r="A38" s="1068">
        <v>28</v>
      </c>
      <c r="B38" s="1072" t="s">
        <v>66</v>
      </c>
      <c r="C38" s="1075"/>
      <c r="D38" s="1066">
        <f>ASTRA!D38+'VIOLE. DOM'!D38+'CCI+CARIEREI'!D38</f>
        <v>0</v>
      </c>
      <c r="E38" s="1066">
        <f>ASTRA!E38+'VIOLE. DOM'!E38+'CCI+CARIEREI'!E38</f>
        <v>0</v>
      </c>
      <c r="F38" s="1067">
        <f>ASTRA!F38+'VIOLE. DOM'!F38+'CCI+CARIEREI'!F38</f>
        <v>0</v>
      </c>
      <c r="G38" s="1062">
        <f>ASTRA!G38+'VIOLE. DOM'!G38+'CCI+CARIEREI'!G38</f>
        <v>0</v>
      </c>
      <c r="H38" s="1062">
        <f>ASTRA!H38+'VIOLE. DOM'!H38+'CCI+CARIEREI'!H38</f>
        <v>0</v>
      </c>
      <c r="I38" s="1062">
        <f>ASTRA!I38+'VIOLE. DOM'!I38+'CCI+CARIEREI'!I38</f>
        <v>0</v>
      </c>
      <c r="J38" s="1062">
        <f>ASTRA!J38+'VIOLE. DOM'!J38+'CCI+CARIEREI'!J38</f>
        <v>0</v>
      </c>
      <c r="K38" s="1066"/>
      <c r="L38" s="1066"/>
      <c r="M38" s="1073"/>
    </row>
    <row r="39" spans="1:13" s="4" customFormat="1" hidden="1" x14ac:dyDescent="0.2">
      <c r="A39" s="1068">
        <v>29</v>
      </c>
      <c r="B39" s="1072" t="s">
        <v>67</v>
      </c>
      <c r="C39" s="1075"/>
      <c r="D39" s="1066">
        <f>ASTRA!D39+'VIOLE. DOM'!D39+'CCI+CARIEREI'!D39</f>
        <v>0</v>
      </c>
      <c r="E39" s="1066">
        <f>ASTRA!E39+'VIOLE. DOM'!E39+'CCI+CARIEREI'!E39</f>
        <v>0</v>
      </c>
      <c r="F39" s="1067">
        <f>ASTRA!F39+'VIOLE. DOM'!F39+'CCI+CARIEREI'!F39</f>
        <v>0</v>
      </c>
      <c r="G39" s="1062">
        <f>ASTRA!G39+'VIOLE. DOM'!G39+'CCI+CARIEREI'!G39</f>
        <v>0</v>
      </c>
      <c r="H39" s="1062">
        <f>ASTRA!H39+'VIOLE. DOM'!H39+'CCI+CARIEREI'!H39</f>
        <v>0</v>
      </c>
      <c r="I39" s="1062">
        <f>ASTRA!I39+'VIOLE. DOM'!I39+'CCI+CARIEREI'!I39</f>
        <v>0</v>
      </c>
      <c r="J39" s="1062">
        <f>ASTRA!J39+'VIOLE. DOM'!J39+'CCI+CARIEREI'!J39</f>
        <v>0</v>
      </c>
      <c r="K39" s="1066"/>
      <c r="L39" s="1066"/>
      <c r="M39" s="1073"/>
    </row>
    <row r="40" spans="1:13" s="4" customFormat="1" x14ac:dyDescent="0.2">
      <c r="A40" s="1068">
        <v>30</v>
      </c>
      <c r="B40" s="1072" t="s">
        <v>68</v>
      </c>
      <c r="C40" s="1075" t="s">
        <v>69</v>
      </c>
      <c r="D40" s="1066">
        <f>ASTRA!D40+'VIOLE. DOM'!D40+'CCI+CARIEREI'!D40</f>
        <v>0</v>
      </c>
      <c r="E40" s="1066">
        <f>ASTRA!E40+'VIOLE. DOM'!E40+'CCI+CARIEREI'!E40</f>
        <v>0</v>
      </c>
      <c r="F40" s="1067">
        <f>ASTRA!F40+'VIOLE. DOM'!F40+'CCI+CARIEREI'!F40</f>
        <v>9</v>
      </c>
      <c r="G40" s="1062">
        <f>ASTRA!G40+'VIOLE. DOM'!G40+'CCI+CARIEREI'!G40</f>
        <v>6</v>
      </c>
      <c r="H40" s="1062">
        <f>ASTRA!H40+'VIOLE. DOM'!H40+'CCI+CARIEREI'!H40</f>
        <v>3</v>
      </c>
      <c r="I40" s="1062">
        <f>ASTRA!I40+'VIOLE. DOM'!I40+'CCI+CARIEREI'!I40</f>
        <v>0</v>
      </c>
      <c r="J40" s="1062">
        <f>ASTRA!J40+'VIOLE. DOM'!J40+'CCI+CARIEREI'!J40</f>
        <v>0</v>
      </c>
      <c r="K40" s="1066"/>
      <c r="L40" s="1066"/>
      <c r="M40" s="1073"/>
    </row>
    <row r="41" spans="1:13" s="4" customFormat="1" x14ac:dyDescent="0.2">
      <c r="A41" s="1068">
        <v>31</v>
      </c>
      <c r="B41" s="1072" t="s">
        <v>70</v>
      </c>
      <c r="C41" s="1075"/>
      <c r="D41" s="1066">
        <f>ASTRA!D41+'VIOLE. DOM'!D41+'CCI+CARIEREI'!D41</f>
        <v>0</v>
      </c>
      <c r="E41" s="1066">
        <f>ASTRA!E41+'VIOLE. DOM'!E41+'CCI+CARIEREI'!E41</f>
        <v>0</v>
      </c>
      <c r="F41" s="1067">
        <f>ASTRA!F41+'VIOLE. DOM'!F41+'CCI+CARIEREI'!F41</f>
        <v>9</v>
      </c>
      <c r="G41" s="1062">
        <f>ASTRA!G41+'VIOLE. DOM'!G41+'CCI+CARIEREI'!G41</f>
        <v>6</v>
      </c>
      <c r="H41" s="1062">
        <f>ASTRA!H41+'VIOLE. DOM'!H41+'CCI+CARIEREI'!H41</f>
        <v>3</v>
      </c>
      <c r="I41" s="1062">
        <f>ASTRA!I41+'VIOLE. DOM'!I41+'CCI+CARIEREI'!I41</f>
        <v>0</v>
      </c>
      <c r="J41" s="1062">
        <f>ASTRA!J41+'VIOLE. DOM'!J41+'CCI+CARIEREI'!J41</f>
        <v>0</v>
      </c>
      <c r="K41" s="1066"/>
      <c r="L41" s="1066"/>
      <c r="M41" s="1073"/>
    </row>
    <row r="42" spans="1:13" s="4" customFormat="1" hidden="1" x14ac:dyDescent="0.2">
      <c r="A42" s="1068">
        <v>32</v>
      </c>
      <c r="B42" s="1072" t="s">
        <v>71</v>
      </c>
      <c r="C42" s="1075"/>
      <c r="D42" s="1066">
        <f>ASTRA!D42+'VIOLE. DOM'!D42+'CCI+CARIEREI'!D42</f>
        <v>0</v>
      </c>
      <c r="E42" s="1066">
        <f>ASTRA!E42+'VIOLE. DOM'!E42+'CCI+CARIEREI'!E42</f>
        <v>0</v>
      </c>
      <c r="F42" s="1067">
        <f>ASTRA!F42+'VIOLE. DOM'!F42+'CCI+CARIEREI'!F42</f>
        <v>0</v>
      </c>
      <c r="G42" s="1062">
        <f>ASTRA!G42+'VIOLE. DOM'!G42+'CCI+CARIEREI'!G42</f>
        <v>0</v>
      </c>
      <c r="H42" s="1062">
        <f>ASTRA!H42+'VIOLE. DOM'!H42+'CCI+CARIEREI'!H42</f>
        <v>0</v>
      </c>
      <c r="I42" s="1062">
        <f>ASTRA!I42+'VIOLE. DOM'!I42+'CCI+CARIEREI'!I42</f>
        <v>0</v>
      </c>
      <c r="J42" s="1062">
        <f>ASTRA!J42+'VIOLE. DOM'!J42+'CCI+CARIEREI'!J42</f>
        <v>0</v>
      </c>
      <c r="K42" s="1066"/>
      <c r="L42" s="1066"/>
      <c r="M42" s="1073"/>
    </row>
    <row r="43" spans="1:13" s="4" customFormat="1" x14ac:dyDescent="0.2">
      <c r="A43" s="1068">
        <v>33</v>
      </c>
      <c r="B43" s="1072" t="s">
        <v>72</v>
      </c>
      <c r="C43" s="1075" t="s">
        <v>73</v>
      </c>
      <c r="D43" s="1066">
        <f>ASTRA!D43+'VIOLE. DOM'!D43+'CCI+CARIEREI'!D43</f>
        <v>0</v>
      </c>
      <c r="E43" s="1066">
        <f>ASTRA!E43+'VIOLE. DOM'!E43+'CCI+CARIEREI'!E43</f>
        <v>0</v>
      </c>
      <c r="F43" s="1067">
        <f>ASTRA!F43+'VIOLE. DOM'!F43+'CCI+CARIEREI'!F43</f>
        <v>95</v>
      </c>
      <c r="G43" s="1062">
        <f>ASTRA!G43+'VIOLE. DOM'!G43+'CCI+CARIEREI'!G43</f>
        <v>46</v>
      </c>
      <c r="H43" s="1062">
        <f>ASTRA!H43+'VIOLE. DOM'!H43+'CCI+CARIEREI'!H43</f>
        <v>15</v>
      </c>
      <c r="I43" s="1062">
        <f>ASTRA!I43+'VIOLE. DOM'!I43+'CCI+CARIEREI'!I43</f>
        <v>12</v>
      </c>
      <c r="J43" s="1062">
        <f>ASTRA!J43+'VIOLE. DOM'!J43+'CCI+CARIEREI'!J43</f>
        <v>22</v>
      </c>
      <c r="K43" s="1066"/>
      <c r="L43" s="1066"/>
      <c r="M43" s="1073"/>
    </row>
    <row r="44" spans="1:13" s="4" customFormat="1" x14ac:dyDescent="0.2">
      <c r="A44" s="1068">
        <v>34</v>
      </c>
      <c r="B44" s="1072" t="s">
        <v>74</v>
      </c>
      <c r="C44" s="1075" t="s">
        <v>75</v>
      </c>
      <c r="D44" s="1066">
        <f>ASTRA!D44+'VIOLE. DOM'!D44+'CCI+CARIEREI'!D44</f>
        <v>0</v>
      </c>
      <c r="E44" s="1066">
        <f>ASTRA!E44+'VIOLE. DOM'!E44+'CCI+CARIEREI'!E44</f>
        <v>0</v>
      </c>
      <c r="F44" s="1067">
        <f>ASTRA!F44+'VIOLE. DOM'!F44+'CCI+CARIEREI'!F44</f>
        <v>29</v>
      </c>
      <c r="G44" s="1062">
        <f>ASTRA!G44+'VIOLE. DOM'!G44+'CCI+CARIEREI'!G44</f>
        <v>12</v>
      </c>
      <c r="H44" s="1062">
        <f>ASTRA!H44+'VIOLE. DOM'!H44+'CCI+CARIEREI'!H44</f>
        <v>9</v>
      </c>
      <c r="I44" s="1062">
        <f>ASTRA!I44+'VIOLE. DOM'!I44+'CCI+CARIEREI'!I44</f>
        <v>6</v>
      </c>
      <c r="J44" s="1062">
        <f>ASTRA!J44+'VIOLE. DOM'!J44+'CCI+CARIEREI'!J44</f>
        <v>2</v>
      </c>
      <c r="K44" s="1066"/>
      <c r="L44" s="1066"/>
      <c r="M44" s="1073"/>
    </row>
    <row r="45" spans="1:13" s="4" customFormat="1" hidden="1" x14ac:dyDescent="0.2">
      <c r="A45" s="1068">
        <v>35</v>
      </c>
      <c r="B45" s="1072" t="s">
        <v>76</v>
      </c>
      <c r="C45" s="1075" t="s">
        <v>77</v>
      </c>
      <c r="D45" s="1066">
        <f>ASTRA!D45+'VIOLE. DOM'!D45+'CCI+CARIEREI'!D45</f>
        <v>0</v>
      </c>
      <c r="E45" s="1066">
        <f>ASTRA!E45+'VIOLE. DOM'!E45+'CCI+CARIEREI'!E45</f>
        <v>0</v>
      </c>
      <c r="F45" s="1067">
        <f>ASTRA!F45+'VIOLE. DOM'!F45+'CCI+CARIEREI'!F45</f>
        <v>0</v>
      </c>
      <c r="G45" s="1062">
        <f>ASTRA!G45+'VIOLE. DOM'!G45+'CCI+CARIEREI'!G45</f>
        <v>0</v>
      </c>
      <c r="H45" s="1062">
        <f>ASTRA!H45+'VIOLE. DOM'!H45+'CCI+CARIEREI'!H45</f>
        <v>0</v>
      </c>
      <c r="I45" s="1062">
        <f>ASTRA!I45+'VIOLE. DOM'!I45+'CCI+CARIEREI'!I45</f>
        <v>0</v>
      </c>
      <c r="J45" s="1062">
        <f>ASTRA!J45+'VIOLE. DOM'!J45+'CCI+CARIEREI'!J45</f>
        <v>0</v>
      </c>
      <c r="K45" s="1066"/>
      <c r="L45" s="1066"/>
      <c r="M45" s="1073"/>
    </row>
    <row r="46" spans="1:13" s="4" customFormat="1" hidden="1" x14ac:dyDescent="0.2">
      <c r="A46" s="1068">
        <v>36</v>
      </c>
      <c r="B46" s="1072" t="s">
        <v>78</v>
      </c>
      <c r="C46" s="1075" t="s">
        <v>79</v>
      </c>
      <c r="D46" s="1066">
        <f>ASTRA!D46+'VIOLE. DOM'!D46+'CCI+CARIEREI'!D46</f>
        <v>0</v>
      </c>
      <c r="E46" s="1066">
        <f>ASTRA!E46+'VIOLE. DOM'!E46+'CCI+CARIEREI'!E46</f>
        <v>0</v>
      </c>
      <c r="F46" s="1067">
        <f>ASTRA!F46+'VIOLE. DOM'!F46+'CCI+CARIEREI'!F46</f>
        <v>0</v>
      </c>
      <c r="G46" s="1062">
        <f>ASTRA!G46+'VIOLE. DOM'!G46+'CCI+CARIEREI'!G46</f>
        <v>0</v>
      </c>
      <c r="H46" s="1062">
        <f>ASTRA!H46+'VIOLE. DOM'!H46+'CCI+CARIEREI'!H46</f>
        <v>0</v>
      </c>
      <c r="I46" s="1062">
        <f>ASTRA!I46+'VIOLE. DOM'!I46+'CCI+CARIEREI'!I46</f>
        <v>0</v>
      </c>
      <c r="J46" s="1062">
        <f>ASTRA!J46+'VIOLE. DOM'!J46+'CCI+CARIEREI'!J46</f>
        <v>0</v>
      </c>
      <c r="K46" s="1066"/>
      <c r="L46" s="1066"/>
      <c r="M46" s="1073"/>
    </row>
    <row r="47" spans="1:13" s="4" customFormat="1" x14ac:dyDescent="0.2">
      <c r="A47" s="1068">
        <v>37</v>
      </c>
      <c r="B47" s="1072" t="s">
        <v>80</v>
      </c>
      <c r="C47" s="1075" t="s">
        <v>81</v>
      </c>
      <c r="D47" s="1066">
        <f>ASTRA!D47+'VIOLE. DOM'!D47+'CCI+CARIEREI'!D47</f>
        <v>0</v>
      </c>
      <c r="E47" s="1066">
        <f>ASTRA!E47+'VIOLE. DOM'!E47+'CCI+CARIEREI'!E47</f>
        <v>0</v>
      </c>
      <c r="F47" s="1067">
        <f>ASTRA!F47+'VIOLE. DOM'!F47+'CCI+CARIEREI'!F47</f>
        <v>8</v>
      </c>
      <c r="G47" s="1062">
        <f>ASTRA!G47+'VIOLE. DOM'!G47+'CCI+CARIEREI'!G47</f>
        <v>4</v>
      </c>
      <c r="H47" s="1062">
        <f>ASTRA!H47+'VIOLE. DOM'!H47+'CCI+CARIEREI'!H47</f>
        <v>3</v>
      </c>
      <c r="I47" s="1062">
        <f>ASTRA!I47+'VIOLE. DOM'!I47+'CCI+CARIEREI'!I47</f>
        <v>1</v>
      </c>
      <c r="J47" s="1062">
        <f>ASTRA!J47+'VIOLE. DOM'!J47+'CCI+CARIEREI'!J47</f>
        <v>0</v>
      </c>
      <c r="K47" s="1066"/>
      <c r="L47" s="1066"/>
      <c r="M47" s="1073"/>
    </row>
    <row r="48" spans="1:13" s="4" customFormat="1" x14ac:dyDescent="0.2">
      <c r="A48" s="1068">
        <v>38</v>
      </c>
      <c r="B48" s="1072" t="s">
        <v>80</v>
      </c>
      <c r="C48" s="1075"/>
      <c r="D48" s="1066">
        <f>ASTRA!D48+'VIOLE. DOM'!D48+'CCI+CARIEREI'!D48</f>
        <v>0</v>
      </c>
      <c r="E48" s="1066">
        <f>ASTRA!E48+'VIOLE. DOM'!E48+'CCI+CARIEREI'!E48</f>
        <v>0</v>
      </c>
      <c r="F48" s="1067">
        <f>ASTRA!F48+'VIOLE. DOM'!F48+'CCI+CARIEREI'!F48</f>
        <v>8</v>
      </c>
      <c r="G48" s="1062">
        <f>ASTRA!G48+'VIOLE. DOM'!G48+'CCI+CARIEREI'!G48</f>
        <v>4</v>
      </c>
      <c r="H48" s="1062">
        <f>ASTRA!H48+'VIOLE. DOM'!H48+'CCI+CARIEREI'!H48</f>
        <v>3</v>
      </c>
      <c r="I48" s="1062">
        <f>ASTRA!I48+'VIOLE. DOM'!I48+'CCI+CARIEREI'!I48</f>
        <v>1</v>
      </c>
      <c r="J48" s="1062">
        <f>ASTRA!J48+'VIOLE. DOM'!J48+'CCI+CARIEREI'!J48</f>
        <v>0</v>
      </c>
      <c r="K48" s="1066"/>
      <c r="L48" s="1066"/>
      <c r="M48" s="1073"/>
    </row>
    <row r="49" spans="1:13" s="4" customFormat="1" hidden="1" x14ac:dyDescent="0.2">
      <c r="A49" s="1068">
        <v>39</v>
      </c>
      <c r="B49" s="1072" t="s">
        <v>82</v>
      </c>
      <c r="C49" s="1075"/>
      <c r="D49" s="1066">
        <f>ASTRA!D49+'VIOLE. DOM'!D49+'CCI+CARIEREI'!D49</f>
        <v>0</v>
      </c>
      <c r="E49" s="1066">
        <f>ASTRA!E49+'VIOLE. DOM'!E49+'CCI+CARIEREI'!E49</f>
        <v>0</v>
      </c>
      <c r="F49" s="1067">
        <f>ASTRA!F49+'VIOLE. DOM'!F49+'CCI+CARIEREI'!F49</f>
        <v>0</v>
      </c>
      <c r="G49" s="1062">
        <f>ASTRA!G49+'VIOLE. DOM'!G49+'CCI+CARIEREI'!G49</f>
        <v>0</v>
      </c>
      <c r="H49" s="1062">
        <f>ASTRA!H49+'VIOLE. DOM'!H49+'CCI+CARIEREI'!H49</f>
        <v>0</v>
      </c>
      <c r="I49" s="1062">
        <f>ASTRA!I49+'VIOLE. DOM'!I49+'CCI+CARIEREI'!I49</f>
        <v>0</v>
      </c>
      <c r="J49" s="1062">
        <f>ASTRA!J49+'VIOLE. DOM'!J49+'CCI+CARIEREI'!J49</f>
        <v>0</v>
      </c>
      <c r="K49" s="1066"/>
      <c r="L49" s="1066"/>
      <c r="M49" s="1073"/>
    </row>
    <row r="50" spans="1:13" s="4" customFormat="1" x14ac:dyDescent="0.2">
      <c r="A50" s="1068">
        <v>40</v>
      </c>
      <c r="B50" s="1083" t="s">
        <v>83</v>
      </c>
      <c r="C50" s="1075" t="s">
        <v>84</v>
      </c>
      <c r="D50" s="1066">
        <f>ASTRA!D50+'VIOLE. DOM'!D50+'CCI+CARIEREI'!D50</f>
        <v>0</v>
      </c>
      <c r="E50" s="1066">
        <f>ASTRA!E50+'VIOLE. DOM'!E50+'CCI+CARIEREI'!E50</f>
        <v>0</v>
      </c>
      <c r="F50" s="1067">
        <f>ASTRA!F50+'VIOLE. DOM'!F50+'CCI+CARIEREI'!F50</f>
        <v>9</v>
      </c>
      <c r="G50" s="1062">
        <f>ASTRA!G50+'VIOLE. DOM'!G50+'CCI+CARIEREI'!G50</f>
        <v>5</v>
      </c>
      <c r="H50" s="1062">
        <f>ASTRA!H50+'VIOLE. DOM'!H50+'CCI+CARIEREI'!H50</f>
        <v>2</v>
      </c>
      <c r="I50" s="1062">
        <f>ASTRA!I50+'VIOLE. DOM'!I50+'CCI+CARIEREI'!I50</f>
        <v>1</v>
      </c>
      <c r="J50" s="1062">
        <f>ASTRA!J50+'VIOLE. DOM'!J50+'CCI+CARIEREI'!J50</f>
        <v>1</v>
      </c>
      <c r="K50" s="1066"/>
      <c r="L50" s="1066"/>
      <c r="M50" s="1073"/>
    </row>
    <row r="51" spans="1:13" s="4" customFormat="1" x14ac:dyDescent="0.2">
      <c r="A51" s="1068">
        <v>41</v>
      </c>
      <c r="B51" s="1083" t="s">
        <v>83</v>
      </c>
      <c r="C51" s="1075"/>
      <c r="D51" s="1066">
        <f>ASTRA!D51+'VIOLE. DOM'!D51+'CCI+CARIEREI'!D51</f>
        <v>0</v>
      </c>
      <c r="E51" s="1066">
        <f>ASTRA!E51+'VIOLE. DOM'!E51+'CCI+CARIEREI'!E51</f>
        <v>0</v>
      </c>
      <c r="F51" s="1067">
        <f>ASTRA!F51+'VIOLE. DOM'!F51+'CCI+CARIEREI'!F51</f>
        <v>9</v>
      </c>
      <c r="G51" s="1062">
        <f>ASTRA!G51+'VIOLE. DOM'!G51+'CCI+CARIEREI'!G51</f>
        <v>5</v>
      </c>
      <c r="H51" s="1062">
        <f>ASTRA!H51+'VIOLE. DOM'!H51+'CCI+CARIEREI'!H51</f>
        <v>2</v>
      </c>
      <c r="I51" s="1062">
        <f>ASTRA!I51+'VIOLE. DOM'!I51+'CCI+CARIEREI'!I51</f>
        <v>1</v>
      </c>
      <c r="J51" s="1062">
        <f>ASTRA!J51+'VIOLE. DOM'!J51+'CCI+CARIEREI'!J51</f>
        <v>1</v>
      </c>
      <c r="K51" s="1066"/>
      <c r="L51" s="1066"/>
      <c r="M51" s="1073"/>
    </row>
    <row r="52" spans="1:13" s="4" customFormat="1" hidden="1" x14ac:dyDescent="0.2">
      <c r="A52" s="1068">
        <v>42</v>
      </c>
      <c r="B52" s="1083" t="s">
        <v>85</v>
      </c>
      <c r="C52" s="1075"/>
      <c r="D52" s="1066">
        <f>ASTRA!D52+'VIOLE. DOM'!D52+'CCI+CARIEREI'!D52</f>
        <v>0</v>
      </c>
      <c r="E52" s="1066">
        <f>ASTRA!E52+'VIOLE. DOM'!E52+'CCI+CARIEREI'!E52</f>
        <v>0</v>
      </c>
      <c r="F52" s="1067">
        <f>ASTRA!F52+'VIOLE. DOM'!F52+'CCI+CARIEREI'!F52</f>
        <v>0</v>
      </c>
      <c r="G52" s="1062">
        <f>ASTRA!G52+'VIOLE. DOM'!G52+'CCI+CARIEREI'!G52</f>
        <v>0</v>
      </c>
      <c r="H52" s="1062">
        <f>ASTRA!H52+'VIOLE. DOM'!H52+'CCI+CARIEREI'!H52</f>
        <v>0</v>
      </c>
      <c r="I52" s="1062">
        <f>ASTRA!I52+'VIOLE. DOM'!I52+'CCI+CARIEREI'!I52</f>
        <v>0</v>
      </c>
      <c r="J52" s="1062">
        <f>ASTRA!J52+'VIOLE. DOM'!J52+'CCI+CARIEREI'!J52</f>
        <v>0</v>
      </c>
      <c r="K52" s="1066"/>
      <c r="L52" s="1066"/>
      <c r="M52" s="1073"/>
    </row>
    <row r="53" spans="1:13" s="4" customFormat="1" x14ac:dyDescent="0.2">
      <c r="A53" s="1068">
        <v>43</v>
      </c>
      <c r="B53" s="1072" t="s">
        <v>86</v>
      </c>
      <c r="C53" s="1075" t="s">
        <v>87</v>
      </c>
      <c r="D53" s="1066">
        <f>ASTRA!D53+'VIOLE. DOM'!D53+'CCI+CARIEREI'!D53</f>
        <v>0</v>
      </c>
      <c r="E53" s="1066">
        <f>ASTRA!E53+'VIOLE. DOM'!E53+'CCI+CARIEREI'!E53</f>
        <v>0</v>
      </c>
      <c r="F53" s="1067">
        <f>ASTRA!F53+'VIOLE. DOM'!F53+'CCI+CARIEREI'!F53</f>
        <v>44</v>
      </c>
      <c r="G53" s="1062">
        <f>ASTRA!G53+'VIOLE. DOM'!G53+'CCI+CARIEREI'!G53</f>
        <v>21</v>
      </c>
      <c r="H53" s="1062">
        <f>ASTRA!H53+'VIOLE. DOM'!H53+'CCI+CARIEREI'!H53</f>
        <v>16</v>
      </c>
      <c r="I53" s="1062">
        <f>ASTRA!I53+'VIOLE. DOM'!I53+'CCI+CARIEREI'!I53</f>
        <v>6</v>
      </c>
      <c r="J53" s="1062">
        <f>ASTRA!J53+'VIOLE. DOM'!J53+'CCI+CARIEREI'!J53</f>
        <v>1</v>
      </c>
      <c r="K53" s="1066"/>
      <c r="L53" s="1066"/>
      <c r="M53" s="1073"/>
    </row>
    <row r="54" spans="1:13" s="4" customFormat="1" x14ac:dyDescent="0.2">
      <c r="A54" s="1068">
        <v>44</v>
      </c>
      <c r="B54" s="1072" t="s">
        <v>88</v>
      </c>
      <c r="C54" s="1075"/>
      <c r="D54" s="1066">
        <f>ASTRA!D54+'VIOLE. DOM'!D54+'CCI+CARIEREI'!D54</f>
        <v>0</v>
      </c>
      <c r="E54" s="1066">
        <f>ASTRA!E54+'VIOLE. DOM'!E54+'CCI+CARIEREI'!E54</f>
        <v>0</v>
      </c>
      <c r="F54" s="1067">
        <f>ASTRA!F54+'VIOLE. DOM'!F54+'CCI+CARIEREI'!F54</f>
        <v>33</v>
      </c>
      <c r="G54" s="1062">
        <f>ASTRA!G54+'VIOLE. DOM'!G54+'CCI+CARIEREI'!G54</f>
        <v>15</v>
      </c>
      <c r="H54" s="1062">
        <f>ASTRA!H54+'VIOLE. DOM'!H54+'CCI+CARIEREI'!H54</f>
        <v>11</v>
      </c>
      <c r="I54" s="1062">
        <f>ASTRA!I54+'VIOLE. DOM'!I54+'CCI+CARIEREI'!I54</f>
        <v>6</v>
      </c>
      <c r="J54" s="1062">
        <f>ASTRA!J54+'VIOLE. DOM'!J54+'CCI+CARIEREI'!J54</f>
        <v>1</v>
      </c>
      <c r="K54" s="1066"/>
      <c r="L54" s="1066"/>
      <c r="M54" s="1073"/>
    </row>
    <row r="55" spans="1:13" s="4" customFormat="1" x14ac:dyDescent="0.2">
      <c r="A55" s="1068">
        <v>45</v>
      </c>
      <c r="B55" s="1072" t="s">
        <v>89</v>
      </c>
      <c r="C55" s="1075"/>
      <c r="D55" s="1066">
        <f>ASTRA!D55+'VIOLE. DOM'!D55+'CCI+CARIEREI'!D55</f>
        <v>0</v>
      </c>
      <c r="E55" s="1066">
        <f>ASTRA!E55+'VIOLE. DOM'!E55+'CCI+CARIEREI'!E55</f>
        <v>0</v>
      </c>
      <c r="F55" s="1067">
        <f>ASTRA!F55+'VIOLE. DOM'!F55+'CCI+CARIEREI'!F55</f>
        <v>11</v>
      </c>
      <c r="G55" s="1062">
        <f>ASTRA!G55+'VIOLE. DOM'!G55+'CCI+CARIEREI'!G55</f>
        <v>6</v>
      </c>
      <c r="H55" s="1062">
        <f>ASTRA!H55+'VIOLE. DOM'!H55+'CCI+CARIEREI'!H55</f>
        <v>5</v>
      </c>
      <c r="I55" s="1062">
        <f>ASTRA!I55+'VIOLE. DOM'!I55+'CCI+CARIEREI'!I55</f>
        <v>0</v>
      </c>
      <c r="J55" s="1062">
        <f>ASTRA!J55+'VIOLE. DOM'!J55+'CCI+CARIEREI'!J55</f>
        <v>0</v>
      </c>
      <c r="K55" s="1066"/>
      <c r="L55" s="1066"/>
      <c r="M55" s="1073"/>
    </row>
    <row r="56" spans="1:13" s="4" customFormat="1" hidden="1" x14ac:dyDescent="0.2">
      <c r="A56" s="1068">
        <v>46</v>
      </c>
      <c r="B56" s="1072" t="s">
        <v>233</v>
      </c>
      <c r="C56" s="1075"/>
      <c r="D56" s="1066">
        <f>ASTRA!D56+'VIOLE. DOM'!D56+'CCI+CARIEREI'!D56</f>
        <v>0</v>
      </c>
      <c r="E56" s="1066">
        <f>ASTRA!E56+'VIOLE. DOM'!E56+'CCI+CARIEREI'!E56</f>
        <v>0</v>
      </c>
      <c r="F56" s="1067">
        <f>ASTRA!F56+'VIOLE. DOM'!F56+'CCI+CARIEREI'!F56</f>
        <v>0</v>
      </c>
      <c r="G56" s="1062">
        <f>ASTRA!G56+'VIOLE. DOM'!G56+'CCI+CARIEREI'!G56</f>
        <v>0</v>
      </c>
      <c r="H56" s="1062">
        <f>ASTRA!H56+'VIOLE. DOM'!H56+'CCI+CARIEREI'!H56</f>
        <v>0</v>
      </c>
      <c r="I56" s="1062">
        <f>ASTRA!I56+'VIOLE. DOM'!I56+'CCI+CARIEREI'!I56</f>
        <v>0</v>
      </c>
      <c r="J56" s="1062">
        <f>ASTRA!J56+'VIOLE. DOM'!J56+'CCI+CARIEREI'!J56</f>
        <v>0</v>
      </c>
      <c r="K56" s="1066"/>
      <c r="L56" s="1066"/>
      <c r="M56" s="1073"/>
    </row>
    <row r="57" spans="1:13" s="4" customFormat="1" hidden="1" x14ac:dyDescent="0.2">
      <c r="A57" s="1068">
        <v>47</v>
      </c>
      <c r="B57" s="1072" t="s">
        <v>91</v>
      </c>
      <c r="C57" s="952" t="s">
        <v>92</v>
      </c>
      <c r="D57" s="1066">
        <f>ASTRA!D57+'VIOLE. DOM'!D57+'CCI+CARIEREI'!D57</f>
        <v>0</v>
      </c>
      <c r="E57" s="1066">
        <f>ASTRA!E57+'VIOLE. DOM'!E57+'CCI+CARIEREI'!E57</f>
        <v>0</v>
      </c>
      <c r="F57" s="1067">
        <f>ASTRA!F57+'VIOLE. DOM'!F57+'CCI+CARIEREI'!F57</f>
        <v>0</v>
      </c>
      <c r="G57" s="1062">
        <f>ASTRA!G57+'VIOLE. DOM'!G57+'CCI+CARIEREI'!G57</f>
        <v>0</v>
      </c>
      <c r="H57" s="1062">
        <f>ASTRA!H57+'VIOLE. DOM'!H57+'CCI+CARIEREI'!H57</f>
        <v>0</v>
      </c>
      <c r="I57" s="1062">
        <f>ASTRA!I57+'VIOLE. DOM'!I57+'CCI+CARIEREI'!I57</f>
        <v>0</v>
      </c>
      <c r="J57" s="1062">
        <f>ASTRA!J57+'VIOLE. DOM'!J57+'CCI+CARIEREI'!J57</f>
        <v>0</v>
      </c>
      <c r="K57" s="1066"/>
      <c r="L57" s="1066"/>
      <c r="M57" s="1073"/>
    </row>
    <row r="58" spans="1:13" s="4" customFormat="1" x14ac:dyDescent="0.2">
      <c r="A58" s="1068">
        <v>48</v>
      </c>
      <c r="B58" s="1083" t="s">
        <v>93</v>
      </c>
      <c r="C58" s="1075" t="s">
        <v>94</v>
      </c>
      <c r="D58" s="1066">
        <f>ASTRA!D58+'VIOLE. DOM'!D58+'CCI+CARIEREI'!D58</f>
        <v>0</v>
      </c>
      <c r="E58" s="1066">
        <f>ASTRA!E58+'VIOLE. DOM'!E58+'CCI+CARIEREI'!E58</f>
        <v>0</v>
      </c>
      <c r="F58" s="1067">
        <f>ASTRA!F58+'VIOLE. DOM'!F58+'CCI+CARIEREI'!F58</f>
        <v>80</v>
      </c>
      <c r="G58" s="1062">
        <f>ASTRA!G58+'VIOLE. DOM'!G58+'CCI+CARIEREI'!G58</f>
        <v>17</v>
      </c>
      <c r="H58" s="1062">
        <f>ASTRA!H58+'VIOLE. DOM'!H58+'CCI+CARIEREI'!H58</f>
        <v>23</v>
      </c>
      <c r="I58" s="1062">
        <f>ASTRA!I58+'VIOLE. DOM'!I58+'CCI+CARIEREI'!I58</f>
        <v>21</v>
      </c>
      <c r="J58" s="1062">
        <f>ASTRA!J58+'VIOLE. DOM'!J58+'CCI+CARIEREI'!J58</f>
        <v>19</v>
      </c>
      <c r="K58" s="1066"/>
      <c r="L58" s="1066"/>
      <c r="M58" s="1073"/>
    </row>
    <row r="59" spans="1:13" s="4" customFormat="1" x14ac:dyDescent="0.2">
      <c r="A59" s="1068">
        <v>49</v>
      </c>
      <c r="B59" s="1072" t="s">
        <v>95</v>
      </c>
      <c r="C59" s="1075" t="s">
        <v>96</v>
      </c>
      <c r="D59" s="1066">
        <f>ASTRA!D59+'VIOLE. DOM'!D59+'CCI+CARIEREI'!D59</f>
        <v>0</v>
      </c>
      <c r="E59" s="1066">
        <f>ASTRA!E59+'VIOLE. DOM'!E59+'CCI+CARIEREI'!E59</f>
        <v>0</v>
      </c>
      <c r="F59" s="1067">
        <f>ASTRA!F59+'VIOLE. DOM'!F59+'CCI+CARIEREI'!F59</f>
        <v>6</v>
      </c>
      <c r="G59" s="1062">
        <f>ASTRA!G59+'VIOLE. DOM'!G59+'CCI+CARIEREI'!G59</f>
        <v>6</v>
      </c>
      <c r="H59" s="1062">
        <f>ASTRA!H59+'VIOLE. DOM'!H59+'CCI+CARIEREI'!H59</f>
        <v>0</v>
      </c>
      <c r="I59" s="1062">
        <f>ASTRA!I59+'VIOLE. DOM'!I59+'CCI+CARIEREI'!I59</f>
        <v>0</v>
      </c>
      <c r="J59" s="1062">
        <f>ASTRA!J59+'VIOLE. DOM'!J59+'CCI+CARIEREI'!J59</f>
        <v>0</v>
      </c>
      <c r="K59" s="1066"/>
      <c r="L59" s="1066"/>
      <c r="M59" s="1073"/>
    </row>
    <row r="60" spans="1:13" s="4" customFormat="1" hidden="1" x14ac:dyDescent="0.2">
      <c r="A60" s="1068">
        <v>50</v>
      </c>
      <c r="B60" s="1072" t="s">
        <v>97</v>
      </c>
      <c r="C60" s="1075" t="s">
        <v>98</v>
      </c>
      <c r="D60" s="1066">
        <f>ASTRA!D60+'VIOLE. DOM'!D60+'CCI+CARIEREI'!D60</f>
        <v>0</v>
      </c>
      <c r="E60" s="1066">
        <f>ASTRA!E60+'VIOLE. DOM'!E60+'CCI+CARIEREI'!E60</f>
        <v>0</v>
      </c>
      <c r="F60" s="1067">
        <f>ASTRA!F60+'VIOLE. DOM'!F60+'CCI+CARIEREI'!F60</f>
        <v>0</v>
      </c>
      <c r="G60" s="1062">
        <f>ASTRA!G60+'VIOLE. DOM'!G60+'CCI+CARIEREI'!G60</f>
        <v>0</v>
      </c>
      <c r="H60" s="1062">
        <f>ASTRA!H60+'VIOLE. DOM'!H60+'CCI+CARIEREI'!H60</f>
        <v>0</v>
      </c>
      <c r="I60" s="1062">
        <f>ASTRA!I60+'VIOLE. DOM'!I60+'CCI+CARIEREI'!I60</f>
        <v>0</v>
      </c>
      <c r="J60" s="1062">
        <f>ASTRA!J60+'VIOLE. DOM'!J60+'CCI+CARIEREI'!J60</f>
        <v>0</v>
      </c>
      <c r="K60" s="1066"/>
      <c r="L60" s="1066"/>
      <c r="M60" s="1073"/>
    </row>
    <row r="61" spans="1:13" s="4" customFormat="1" x14ac:dyDescent="0.2">
      <c r="A61" s="1068">
        <v>51</v>
      </c>
      <c r="B61" s="1072" t="s">
        <v>99</v>
      </c>
      <c r="C61" s="1075" t="s">
        <v>100</v>
      </c>
      <c r="D61" s="1066">
        <f>ASTRA!D61+'VIOLE. DOM'!D61+'CCI+CARIEREI'!D61</f>
        <v>0</v>
      </c>
      <c r="E61" s="1066">
        <f>ASTRA!E61+'VIOLE. DOM'!E61+'CCI+CARIEREI'!E61</f>
        <v>0</v>
      </c>
      <c r="F61" s="1067">
        <f>ASTRA!F61+'VIOLE. DOM'!F61+'CCI+CARIEREI'!F61</f>
        <v>3</v>
      </c>
      <c r="G61" s="1062">
        <f>ASTRA!G61+'VIOLE. DOM'!G61+'CCI+CARIEREI'!G61</f>
        <v>3</v>
      </c>
      <c r="H61" s="1062">
        <f>ASTRA!H61+'VIOLE. DOM'!H61+'CCI+CARIEREI'!H61</f>
        <v>0</v>
      </c>
      <c r="I61" s="1062">
        <f>ASTRA!I61+'VIOLE. DOM'!I61+'CCI+CARIEREI'!I61</f>
        <v>0</v>
      </c>
      <c r="J61" s="1062">
        <f>ASTRA!J61+'VIOLE. DOM'!J61+'CCI+CARIEREI'!J61</f>
        <v>0</v>
      </c>
      <c r="K61" s="1066"/>
      <c r="L61" s="1066"/>
      <c r="M61" s="1073"/>
    </row>
    <row r="62" spans="1:13" s="4" customFormat="1" x14ac:dyDescent="0.2">
      <c r="A62" s="1068">
        <v>52</v>
      </c>
      <c r="B62" s="1072" t="s">
        <v>101</v>
      </c>
      <c r="C62" s="1075" t="s">
        <v>102</v>
      </c>
      <c r="D62" s="1066">
        <f>ASTRA!D62+'VIOLE. DOM'!D62+'CCI+CARIEREI'!D62</f>
        <v>0</v>
      </c>
      <c r="E62" s="1066">
        <f>ASTRA!E62+'VIOLE. DOM'!E62+'CCI+CARIEREI'!E62</f>
        <v>0</v>
      </c>
      <c r="F62" s="1067">
        <f>ASTRA!F62+'VIOLE. DOM'!F62+'CCI+CARIEREI'!F62</f>
        <v>3</v>
      </c>
      <c r="G62" s="1062">
        <f>ASTRA!G62+'VIOLE. DOM'!G62+'CCI+CARIEREI'!G62</f>
        <v>3</v>
      </c>
      <c r="H62" s="1062">
        <f>ASTRA!H62+'VIOLE. DOM'!H62+'CCI+CARIEREI'!H62</f>
        <v>0</v>
      </c>
      <c r="I62" s="1062">
        <f>ASTRA!I62+'VIOLE. DOM'!I62+'CCI+CARIEREI'!I62</f>
        <v>0</v>
      </c>
      <c r="J62" s="1062">
        <f>ASTRA!J62+'VIOLE. DOM'!J62+'CCI+CARIEREI'!J62</f>
        <v>0</v>
      </c>
      <c r="K62" s="1066"/>
      <c r="L62" s="1066"/>
      <c r="M62" s="1073"/>
    </row>
    <row r="63" spans="1:13" s="4" customFormat="1" hidden="1" x14ac:dyDescent="0.2">
      <c r="A63" s="1068">
        <v>53</v>
      </c>
      <c r="B63" s="1072" t="s">
        <v>382</v>
      </c>
      <c r="C63" s="1075" t="s">
        <v>102</v>
      </c>
      <c r="D63" s="1066">
        <f>ASTRA!D63+'VIOLE. DOM'!D63+'CCI+CARIEREI'!D63</f>
        <v>0</v>
      </c>
      <c r="E63" s="1066">
        <f>ASTRA!E63+'VIOLE. DOM'!E63+'CCI+CARIEREI'!E63</f>
        <v>0</v>
      </c>
      <c r="F63" s="1067">
        <f>ASTRA!F63+'VIOLE. DOM'!F63+'CCI+CARIEREI'!F63</f>
        <v>0</v>
      </c>
      <c r="G63" s="1062">
        <f>ASTRA!G63+'VIOLE. DOM'!G63+'CCI+CARIEREI'!G63</f>
        <v>0</v>
      </c>
      <c r="H63" s="1062">
        <f>ASTRA!H63+'VIOLE. DOM'!H63+'CCI+CARIEREI'!H63</f>
        <v>0</v>
      </c>
      <c r="I63" s="1062">
        <f>ASTRA!I63+'VIOLE. DOM'!I63+'CCI+CARIEREI'!I63</f>
        <v>0</v>
      </c>
      <c r="J63" s="1062">
        <f>ASTRA!J63+'VIOLE. DOM'!J63+'CCI+CARIEREI'!J63</f>
        <v>0</v>
      </c>
      <c r="K63" s="1066"/>
      <c r="L63" s="1066"/>
      <c r="M63" s="1073"/>
    </row>
    <row r="64" spans="1:13" s="4" customFormat="1" x14ac:dyDescent="0.2">
      <c r="A64" s="1068">
        <v>54</v>
      </c>
      <c r="B64" s="1084" t="s">
        <v>104</v>
      </c>
      <c r="C64" s="1075" t="s">
        <v>105</v>
      </c>
      <c r="D64" s="1066">
        <f>ASTRA!D64+'VIOLE. DOM'!D64+'CCI+CARIEREI'!D64</f>
        <v>0</v>
      </c>
      <c r="E64" s="1066">
        <f>ASTRA!E64+'VIOLE. DOM'!E64+'CCI+CARIEREI'!E64</f>
        <v>0</v>
      </c>
      <c r="F64" s="1067">
        <f>ASTRA!F64+'VIOLE. DOM'!F64+'CCI+CARIEREI'!F64</f>
        <v>62.65</v>
      </c>
      <c r="G64" s="1062">
        <f>ASTRA!G64+'VIOLE. DOM'!G64+'CCI+CARIEREI'!G64</f>
        <v>20</v>
      </c>
      <c r="H64" s="1062">
        <f>ASTRA!H64+'VIOLE. DOM'!H64+'CCI+CARIEREI'!H64</f>
        <v>38.65</v>
      </c>
      <c r="I64" s="1062">
        <f>ASTRA!I64+'VIOLE. DOM'!I64+'CCI+CARIEREI'!I64</f>
        <v>2</v>
      </c>
      <c r="J64" s="1062">
        <f>ASTRA!J64+'VIOLE. DOM'!J64+'CCI+CARIEREI'!J64</f>
        <v>2</v>
      </c>
      <c r="K64" s="1066"/>
      <c r="L64" s="1066"/>
      <c r="M64" s="1073"/>
    </row>
    <row r="65" spans="1:13" s="4" customFormat="1" x14ac:dyDescent="0.2">
      <c r="A65" s="1068">
        <v>55</v>
      </c>
      <c r="B65" s="1072" t="s">
        <v>106</v>
      </c>
      <c r="C65" s="1075" t="s">
        <v>107</v>
      </c>
      <c r="D65" s="1066">
        <f>ASTRA!D65+'VIOLE. DOM'!D65+'CCI+CARIEREI'!D65</f>
        <v>0</v>
      </c>
      <c r="E65" s="1066">
        <f>ASTRA!E65+'VIOLE. DOM'!E65+'CCI+CARIEREI'!E65</f>
        <v>0</v>
      </c>
      <c r="F65" s="1067">
        <f>ASTRA!F65+'VIOLE. DOM'!F65+'CCI+CARIEREI'!F65</f>
        <v>0</v>
      </c>
      <c r="G65" s="1062">
        <f>ASTRA!G65+'VIOLE. DOM'!G65+'CCI+CARIEREI'!G65</f>
        <v>0</v>
      </c>
      <c r="H65" s="1062">
        <f>ASTRA!H65+'VIOLE. DOM'!H65+'CCI+CARIEREI'!H65</f>
        <v>0</v>
      </c>
      <c r="I65" s="1062">
        <f>ASTRA!I65+'VIOLE. DOM'!I65+'CCI+CARIEREI'!I65</f>
        <v>0</v>
      </c>
      <c r="J65" s="1062">
        <f>ASTRA!J65+'VIOLE. DOM'!J65+'CCI+CARIEREI'!J65</f>
        <v>0</v>
      </c>
      <c r="K65" s="1066"/>
      <c r="L65" s="1066"/>
      <c r="M65" s="1073"/>
    </row>
    <row r="66" spans="1:13" s="4" customFormat="1" x14ac:dyDescent="0.2">
      <c r="A66" s="1068">
        <v>56</v>
      </c>
      <c r="B66" s="1072" t="s">
        <v>108</v>
      </c>
      <c r="C66" s="1075" t="s">
        <v>109</v>
      </c>
      <c r="D66" s="1066">
        <f>ASTRA!D66+'VIOLE. DOM'!D66+'CCI+CARIEREI'!D66</f>
        <v>0</v>
      </c>
      <c r="E66" s="1066">
        <f>ASTRA!E66+'VIOLE. DOM'!E66+'CCI+CARIEREI'!E66</f>
        <v>0</v>
      </c>
      <c r="F66" s="1067">
        <f>ASTRA!F66+'VIOLE. DOM'!F66+'CCI+CARIEREI'!F66</f>
        <v>0</v>
      </c>
      <c r="G66" s="1062">
        <f>ASTRA!G66+'VIOLE. DOM'!G66+'CCI+CARIEREI'!G66</f>
        <v>0</v>
      </c>
      <c r="H66" s="1062">
        <f>ASTRA!H66+'VIOLE. DOM'!H66+'CCI+CARIEREI'!H66</f>
        <v>0</v>
      </c>
      <c r="I66" s="1062">
        <f>ASTRA!I66+'VIOLE. DOM'!I66+'CCI+CARIEREI'!I66</f>
        <v>0</v>
      </c>
      <c r="J66" s="1062">
        <f>ASTRA!J66+'VIOLE. DOM'!J66+'CCI+CARIEREI'!J66</f>
        <v>0</v>
      </c>
      <c r="K66" s="1066"/>
      <c r="L66" s="1066"/>
      <c r="M66" s="1073"/>
    </row>
    <row r="67" spans="1:13" s="4" customFormat="1" ht="13.5" customHeight="1" x14ac:dyDescent="0.2">
      <c r="A67" s="1068">
        <v>57</v>
      </c>
      <c r="B67" s="1085" t="s">
        <v>110</v>
      </c>
      <c r="C67" s="1086" t="s">
        <v>111</v>
      </c>
      <c r="D67" s="1066">
        <f>ASTRA!D67+'VIOLE. DOM'!D67+'CCI+CARIEREI'!D67</f>
        <v>0</v>
      </c>
      <c r="E67" s="1066">
        <f>ASTRA!E67+'VIOLE. DOM'!E67+'CCI+CARIEREI'!E67</f>
        <v>0</v>
      </c>
      <c r="F67" s="1067">
        <f>ASTRA!F67+'VIOLE. DOM'!F67+'CCI+CARIEREI'!F67</f>
        <v>62.65</v>
      </c>
      <c r="G67" s="1062">
        <f>ASTRA!G67+'VIOLE. DOM'!G67+'CCI+CARIEREI'!G67</f>
        <v>20</v>
      </c>
      <c r="H67" s="1062">
        <f>ASTRA!H67+'VIOLE. DOM'!H67+'CCI+CARIEREI'!H67</f>
        <v>38.65</v>
      </c>
      <c r="I67" s="1062">
        <f>ASTRA!I67+'VIOLE. DOM'!I67+'CCI+CARIEREI'!I67</f>
        <v>2</v>
      </c>
      <c r="J67" s="1062">
        <f>ASTRA!J67+'VIOLE. DOM'!J67+'CCI+CARIEREI'!J67</f>
        <v>2</v>
      </c>
      <c r="K67" s="1066"/>
      <c r="L67" s="1066"/>
      <c r="M67" s="1073"/>
    </row>
    <row r="68" spans="1:13" s="4" customFormat="1" ht="13.5" hidden="1" customHeight="1" x14ac:dyDescent="0.2">
      <c r="A68" s="1068">
        <v>58</v>
      </c>
      <c r="B68" s="1087" t="s">
        <v>235</v>
      </c>
      <c r="C68" s="1088" t="s">
        <v>111</v>
      </c>
      <c r="D68" s="1066">
        <f>ASTRA!D68+'VIOLE. DOM'!D68+'CCI+CARIEREI'!D68</f>
        <v>0</v>
      </c>
      <c r="E68" s="1066">
        <f>ASTRA!E68+'VIOLE. DOM'!E68+'CCI+CARIEREI'!E68</f>
        <v>0</v>
      </c>
      <c r="F68" s="1067">
        <f>ASTRA!F68+'VIOLE. DOM'!F68+'CCI+CARIEREI'!F68</f>
        <v>0</v>
      </c>
      <c r="G68" s="1062">
        <f>ASTRA!G68+'VIOLE. DOM'!G68+'CCI+CARIEREI'!G68</f>
        <v>0</v>
      </c>
      <c r="H68" s="1062">
        <f>ASTRA!H68+'VIOLE. DOM'!H68+'CCI+CARIEREI'!H68</f>
        <v>0</v>
      </c>
      <c r="I68" s="1062">
        <f>ASTRA!I68+'VIOLE. DOM'!I68+'CCI+CARIEREI'!I68</f>
        <v>0</v>
      </c>
      <c r="J68" s="1062">
        <f>ASTRA!J68+'VIOLE. DOM'!J68+'CCI+CARIEREI'!J68</f>
        <v>0</v>
      </c>
      <c r="K68" s="1066"/>
      <c r="L68" s="1066"/>
      <c r="M68" s="1073"/>
    </row>
    <row r="69" spans="1:13" s="4" customFormat="1" ht="13.5" hidden="1" customHeight="1" x14ac:dyDescent="0.2">
      <c r="A69" s="1068">
        <v>59</v>
      </c>
      <c r="B69" s="1089" t="s">
        <v>113</v>
      </c>
      <c r="C69" s="951" t="s">
        <v>114</v>
      </c>
      <c r="D69" s="1066">
        <f>ASTRA!D69+'VIOLE. DOM'!D69+'CCI+CARIEREI'!D69</f>
        <v>0</v>
      </c>
      <c r="E69" s="1066">
        <f>ASTRA!E69+'VIOLE. DOM'!E69+'CCI+CARIEREI'!E69</f>
        <v>0</v>
      </c>
      <c r="F69" s="1067">
        <f>ASTRA!F69+'VIOLE. DOM'!F69+'CCI+CARIEREI'!F69</f>
        <v>0</v>
      </c>
      <c r="G69" s="1062">
        <f>ASTRA!G69+'VIOLE. DOM'!G69+'CCI+CARIEREI'!G69</f>
        <v>0</v>
      </c>
      <c r="H69" s="1062">
        <f>ASTRA!H69+'VIOLE. DOM'!H69+'CCI+CARIEREI'!H69</f>
        <v>0</v>
      </c>
      <c r="I69" s="1062">
        <f>ASTRA!I69+'VIOLE. DOM'!I69+'CCI+CARIEREI'!I69</f>
        <v>0</v>
      </c>
      <c r="J69" s="1062">
        <f>ASTRA!J69+'VIOLE. DOM'!J69+'CCI+CARIEREI'!J69</f>
        <v>0</v>
      </c>
      <c r="K69" s="1066"/>
      <c r="L69" s="1066"/>
      <c r="M69" s="1073"/>
    </row>
    <row r="70" spans="1:13" s="4" customFormat="1" ht="13.5" hidden="1" customHeight="1" x14ac:dyDescent="0.2">
      <c r="A70" s="1068">
        <v>60</v>
      </c>
      <c r="B70" s="1072" t="s">
        <v>115</v>
      </c>
      <c r="C70" s="1075" t="s">
        <v>116</v>
      </c>
      <c r="D70" s="1066">
        <f>ASTRA!D70+'VIOLE. DOM'!D70+'CCI+CARIEREI'!D70</f>
        <v>0</v>
      </c>
      <c r="E70" s="1066">
        <f>ASTRA!E70+'VIOLE. DOM'!E70+'CCI+CARIEREI'!E70</f>
        <v>0</v>
      </c>
      <c r="F70" s="1067">
        <f>ASTRA!F70+'VIOLE. DOM'!F70+'CCI+CARIEREI'!F70</f>
        <v>0</v>
      </c>
      <c r="G70" s="1062">
        <f>ASTRA!G70+'VIOLE. DOM'!G70+'CCI+CARIEREI'!G70</f>
        <v>0</v>
      </c>
      <c r="H70" s="1062">
        <f>ASTRA!H70+'VIOLE. DOM'!H70+'CCI+CARIEREI'!H70</f>
        <v>0</v>
      </c>
      <c r="I70" s="1062">
        <f>ASTRA!I70+'VIOLE. DOM'!I70+'CCI+CARIEREI'!I70</f>
        <v>0</v>
      </c>
      <c r="J70" s="1062">
        <f>ASTRA!J70+'VIOLE. DOM'!J70+'CCI+CARIEREI'!J70</f>
        <v>0</v>
      </c>
      <c r="K70" s="1066"/>
      <c r="L70" s="1066"/>
      <c r="M70" s="1073"/>
    </row>
    <row r="71" spans="1:13" s="4" customFormat="1" ht="13.5" hidden="1" customHeight="1" x14ac:dyDescent="0.2">
      <c r="A71" s="1068">
        <v>61</v>
      </c>
      <c r="B71" s="1072" t="s">
        <v>117</v>
      </c>
      <c r="C71" s="1075" t="s">
        <v>118</v>
      </c>
      <c r="D71" s="1066">
        <f>ASTRA!D71+'VIOLE. DOM'!D71+'CCI+CARIEREI'!D71</f>
        <v>0</v>
      </c>
      <c r="E71" s="1066">
        <f>ASTRA!E71+'VIOLE. DOM'!E71+'CCI+CARIEREI'!E71</f>
        <v>0</v>
      </c>
      <c r="F71" s="1067">
        <f>ASTRA!F71+'VIOLE. DOM'!F71+'CCI+CARIEREI'!F71</f>
        <v>0</v>
      </c>
      <c r="G71" s="1062">
        <f>ASTRA!G71+'VIOLE. DOM'!G71+'CCI+CARIEREI'!G71</f>
        <v>0</v>
      </c>
      <c r="H71" s="1062">
        <f>ASTRA!H71+'VIOLE. DOM'!H71+'CCI+CARIEREI'!H71</f>
        <v>0</v>
      </c>
      <c r="I71" s="1062">
        <f>ASTRA!I71+'VIOLE. DOM'!I71+'CCI+CARIEREI'!I71</f>
        <v>0</v>
      </c>
      <c r="J71" s="1062">
        <f>ASTRA!J71+'VIOLE. DOM'!J71+'CCI+CARIEREI'!J71</f>
        <v>0</v>
      </c>
      <c r="K71" s="1066"/>
      <c r="L71" s="1066"/>
      <c r="M71" s="1073"/>
    </row>
    <row r="72" spans="1:13" s="4" customFormat="1" ht="13.5" customHeight="1" thickBot="1" x14ac:dyDescent="0.25">
      <c r="A72" s="1068">
        <v>62</v>
      </c>
      <c r="B72" s="1090" t="s">
        <v>119</v>
      </c>
      <c r="C72" s="1091" t="s">
        <v>120</v>
      </c>
      <c r="D72" s="1066">
        <f>ASTRA!D72+'VIOLE. DOM'!D72+'CCI+CARIEREI'!D72</f>
        <v>0</v>
      </c>
      <c r="E72" s="1066">
        <f>ASTRA!E72+'VIOLE. DOM'!E72+'CCI+CARIEREI'!E72</f>
        <v>0</v>
      </c>
      <c r="F72" s="1067">
        <f>ASTRA!F72+'VIOLE. DOM'!F72+'CCI+CARIEREI'!F72</f>
        <v>0</v>
      </c>
      <c r="G72" s="1062">
        <f>ASTRA!G72+'VIOLE. DOM'!G72+'CCI+CARIEREI'!G72</f>
        <v>0</v>
      </c>
      <c r="H72" s="1062">
        <f>ASTRA!H72+'VIOLE. DOM'!H72+'CCI+CARIEREI'!H72</f>
        <v>0</v>
      </c>
      <c r="I72" s="1062">
        <f>ASTRA!I72+'VIOLE. DOM'!I72+'CCI+CARIEREI'!I72</f>
        <v>0</v>
      </c>
      <c r="J72" s="1062">
        <f>ASTRA!J72+'VIOLE. DOM'!J72+'CCI+CARIEREI'!J72</f>
        <v>0</v>
      </c>
      <c r="K72" s="1066"/>
      <c r="L72" s="1066"/>
      <c r="M72" s="1073"/>
    </row>
    <row r="73" spans="1:13" s="4" customFormat="1" ht="13.5" hidden="1" customHeight="1" x14ac:dyDescent="0.2">
      <c r="A73" s="1068">
        <v>63</v>
      </c>
      <c r="B73" s="1092" t="s">
        <v>121</v>
      </c>
      <c r="C73" s="951" t="s">
        <v>122</v>
      </c>
      <c r="D73" s="1066">
        <f>ASTRA!D73+'VIOLE. DOM'!D73+'CCI+CARIEREI'!D73</f>
        <v>0</v>
      </c>
      <c r="E73" s="1066">
        <f>ASTRA!E73+'VIOLE. DOM'!E73+'CCI+CARIEREI'!E73</f>
        <v>0</v>
      </c>
      <c r="F73" s="1067">
        <f>ASTRA!F73+'VIOLE. DOM'!F73+'CCI+CARIEREI'!F73</f>
        <v>0</v>
      </c>
      <c r="G73" s="1062">
        <f>ASTRA!G73+'VIOLE. DOM'!G73+'CCI+CARIEREI'!G73</f>
        <v>0</v>
      </c>
      <c r="H73" s="1062">
        <f>ASTRA!H73+'VIOLE. DOM'!H73+'CCI+CARIEREI'!H73</f>
        <v>0</v>
      </c>
      <c r="I73" s="1062">
        <f>ASTRA!I73+'VIOLE. DOM'!I73+'CCI+CARIEREI'!I73</f>
        <v>0</v>
      </c>
      <c r="J73" s="1062">
        <f>ASTRA!J73+'VIOLE. DOM'!J73+'CCI+CARIEREI'!J73</f>
        <v>0</v>
      </c>
      <c r="K73" s="1066"/>
      <c r="L73" s="1066"/>
      <c r="M73" s="1073"/>
    </row>
    <row r="74" spans="1:13" s="4" customFormat="1" ht="13.5" hidden="1" customHeight="1" x14ac:dyDescent="0.2">
      <c r="A74" s="1068">
        <v>64</v>
      </c>
      <c r="B74" s="1072" t="s">
        <v>123</v>
      </c>
      <c r="C74" s="1075" t="s">
        <v>124</v>
      </c>
      <c r="D74" s="1066">
        <f>ASTRA!D74+'VIOLE. DOM'!D74+'CCI+CARIEREI'!D74</f>
        <v>0</v>
      </c>
      <c r="E74" s="1066">
        <f>ASTRA!E74+'VIOLE. DOM'!E74+'CCI+CARIEREI'!E74</f>
        <v>0</v>
      </c>
      <c r="F74" s="1067">
        <f>ASTRA!F74+'VIOLE. DOM'!F74+'CCI+CARIEREI'!F74</f>
        <v>0</v>
      </c>
      <c r="G74" s="1062">
        <f>ASTRA!G74+'VIOLE. DOM'!G74+'CCI+CARIEREI'!G74</f>
        <v>0</v>
      </c>
      <c r="H74" s="1062">
        <f>ASTRA!H74+'VIOLE. DOM'!H74+'CCI+CARIEREI'!H74</f>
        <v>0</v>
      </c>
      <c r="I74" s="1062">
        <f>ASTRA!I74+'VIOLE. DOM'!I74+'CCI+CARIEREI'!I74</f>
        <v>0</v>
      </c>
      <c r="J74" s="1062">
        <f>ASTRA!J74+'VIOLE. DOM'!J74+'CCI+CARIEREI'!J74</f>
        <v>0</v>
      </c>
      <c r="K74" s="1066"/>
      <c r="L74" s="1066"/>
      <c r="M74" s="1073"/>
    </row>
    <row r="75" spans="1:13" s="4" customFormat="1" ht="13.5" hidden="1" customHeight="1" x14ac:dyDescent="0.2">
      <c r="A75" s="1068">
        <v>65</v>
      </c>
      <c r="B75" s="1072" t="s">
        <v>125</v>
      </c>
      <c r="C75" s="1075" t="s">
        <v>126</v>
      </c>
      <c r="D75" s="1066">
        <f>ASTRA!D75+'VIOLE. DOM'!D75+'CCI+CARIEREI'!D75</f>
        <v>0</v>
      </c>
      <c r="E75" s="1066">
        <f>ASTRA!E75+'VIOLE. DOM'!E75+'CCI+CARIEREI'!E75</f>
        <v>0</v>
      </c>
      <c r="F75" s="1067">
        <f>ASTRA!F75+'VIOLE. DOM'!F75+'CCI+CARIEREI'!F75</f>
        <v>0</v>
      </c>
      <c r="G75" s="1062">
        <f>ASTRA!G75+'VIOLE. DOM'!G75+'CCI+CARIEREI'!G75</f>
        <v>0</v>
      </c>
      <c r="H75" s="1062">
        <f>ASTRA!H75+'VIOLE. DOM'!H75+'CCI+CARIEREI'!H75</f>
        <v>0</v>
      </c>
      <c r="I75" s="1062">
        <f>ASTRA!I75+'VIOLE. DOM'!I75+'CCI+CARIEREI'!I75</f>
        <v>0</v>
      </c>
      <c r="J75" s="1062">
        <f>ASTRA!J75+'VIOLE. DOM'!J75+'CCI+CARIEREI'!J75</f>
        <v>0</v>
      </c>
      <c r="K75" s="1066"/>
      <c r="L75" s="1066"/>
      <c r="M75" s="1073"/>
    </row>
    <row r="76" spans="1:13" s="4" customFormat="1" ht="13.5" customHeight="1" x14ac:dyDescent="0.2">
      <c r="A76" s="1068">
        <v>66</v>
      </c>
      <c r="B76" s="1072" t="s">
        <v>127</v>
      </c>
      <c r="C76" s="1075" t="s">
        <v>128</v>
      </c>
      <c r="D76" s="1067">
        <f>ASTRA!D76+'VIOLE. DOM'!D76+'CCI+CARIEREI'!D76</f>
        <v>0</v>
      </c>
      <c r="E76" s="1067">
        <f>ASTRA!E76+'VIOLE. DOM'!E76+'CCI+CARIEREI'!E76</f>
        <v>0</v>
      </c>
      <c r="F76" s="1067">
        <f>ASTRA!F76+'VIOLE. DOM'!F76+'CCI+CARIEREI'!F76</f>
        <v>192</v>
      </c>
      <c r="G76" s="1062">
        <f>ASTRA!G76+'VIOLE. DOM'!G76+'CCI+CARIEREI'!G76</f>
        <v>78</v>
      </c>
      <c r="H76" s="1062">
        <f>ASTRA!H76+'VIOLE. DOM'!H76+'CCI+CARIEREI'!H76</f>
        <v>58</v>
      </c>
      <c r="I76" s="1062">
        <f>ASTRA!I76+'VIOLE. DOM'!I76+'CCI+CARIEREI'!I76</f>
        <v>34</v>
      </c>
      <c r="J76" s="1062">
        <f>ASTRA!J76+'VIOLE. DOM'!J76+'CCI+CARIEREI'!J76</f>
        <v>22</v>
      </c>
      <c r="K76" s="1066"/>
      <c r="L76" s="1066"/>
      <c r="M76" s="1073"/>
    </row>
    <row r="77" spans="1:13" s="4" customFormat="1" ht="13.5" hidden="1" customHeight="1" x14ac:dyDescent="0.2">
      <c r="A77" s="1068">
        <v>67</v>
      </c>
      <c r="B77" s="1072" t="s">
        <v>129</v>
      </c>
      <c r="C77" s="1075" t="s">
        <v>130</v>
      </c>
      <c r="D77" s="1066">
        <f>ASTRA!D77+'VIOLE. DOM'!D77+'CCI+CARIEREI'!D77</f>
        <v>0</v>
      </c>
      <c r="E77" s="1066">
        <f>ASTRA!E77+'VIOLE. DOM'!E77+'CCI+CARIEREI'!E77</f>
        <v>0</v>
      </c>
      <c r="F77" s="1067">
        <f>ASTRA!F77+'VIOLE. DOM'!F77+'CCI+CARIEREI'!F77</f>
        <v>0</v>
      </c>
      <c r="G77" s="1062">
        <f>ASTRA!G77+'VIOLE. DOM'!G77+'CCI+CARIEREI'!G77</f>
        <v>0</v>
      </c>
      <c r="H77" s="1062">
        <f>ASTRA!H77+'VIOLE. DOM'!H77+'CCI+CARIEREI'!H77</f>
        <v>0</v>
      </c>
      <c r="I77" s="1062">
        <f>ASTRA!I77+'VIOLE. DOM'!I77+'CCI+CARIEREI'!I77</f>
        <v>0</v>
      </c>
      <c r="J77" s="1062">
        <f>ASTRA!J77+'VIOLE. DOM'!J77+'CCI+CARIEREI'!J77</f>
        <v>0</v>
      </c>
      <c r="K77" s="1066"/>
      <c r="L77" s="1066"/>
      <c r="M77" s="1073"/>
    </row>
    <row r="78" spans="1:13" s="4" customFormat="1" ht="13.5" customHeight="1" x14ac:dyDescent="0.2">
      <c r="A78" s="1068">
        <v>68</v>
      </c>
      <c r="B78" s="1072" t="s">
        <v>131</v>
      </c>
      <c r="C78" s="1075" t="s">
        <v>132</v>
      </c>
      <c r="D78" s="1067">
        <f>ASTRA!D78+'VIOLE. DOM'!D78+'CCI+CARIEREI'!D78</f>
        <v>0</v>
      </c>
      <c r="E78" s="1067">
        <f>ASTRA!E78+'VIOLE. DOM'!E78+'CCI+CARIEREI'!E78</f>
        <v>0</v>
      </c>
      <c r="F78" s="1067">
        <f>ASTRA!F78+'VIOLE. DOM'!F78+'CCI+CARIEREI'!F78</f>
        <v>192</v>
      </c>
      <c r="G78" s="1062">
        <f>ASTRA!G78+'VIOLE. DOM'!G78+'CCI+CARIEREI'!G78</f>
        <v>78</v>
      </c>
      <c r="H78" s="1062">
        <f>ASTRA!H78+'VIOLE. DOM'!H78+'CCI+CARIEREI'!H78</f>
        <v>58</v>
      </c>
      <c r="I78" s="1062">
        <f>ASTRA!I78+'VIOLE. DOM'!I78+'CCI+CARIEREI'!I78</f>
        <v>34</v>
      </c>
      <c r="J78" s="1062">
        <f>ASTRA!J78+'VIOLE. DOM'!J78+'CCI+CARIEREI'!J78</f>
        <v>22</v>
      </c>
      <c r="K78" s="1066"/>
      <c r="L78" s="1066"/>
      <c r="M78" s="1073"/>
    </row>
    <row r="79" spans="1:13" s="4" customFormat="1" ht="13.5" customHeight="1" x14ac:dyDescent="0.2">
      <c r="A79" s="1068">
        <v>69</v>
      </c>
      <c r="B79" s="1072" t="s">
        <v>345</v>
      </c>
      <c r="C79" s="1075"/>
      <c r="D79" s="1066">
        <f>ASTRA!D79+'VIOLE. DOM'!D79+'CCI+CARIEREI'!D79</f>
        <v>0</v>
      </c>
      <c r="E79" s="1066">
        <f>ASTRA!E79+'VIOLE. DOM'!E79+'CCI+CARIEREI'!E79</f>
        <v>0</v>
      </c>
      <c r="F79" s="1067">
        <f>ASTRA!F79+'VIOLE. DOM'!F79+'CCI+CARIEREI'!F79</f>
        <v>11</v>
      </c>
      <c r="G79" s="1062">
        <f>ASTRA!G79+'VIOLE. DOM'!G79+'CCI+CARIEREI'!G79</f>
        <v>4</v>
      </c>
      <c r="H79" s="1062">
        <f>ASTRA!H79+'VIOLE. DOM'!H79+'CCI+CARIEREI'!H79</f>
        <v>3</v>
      </c>
      <c r="I79" s="1062">
        <f>ASTRA!I79+'VIOLE. DOM'!I79+'CCI+CARIEREI'!I79</f>
        <v>3</v>
      </c>
      <c r="J79" s="1062">
        <f>ASTRA!J79+'VIOLE. DOM'!J79+'CCI+CARIEREI'!J79</f>
        <v>1</v>
      </c>
      <c r="K79" s="1066"/>
      <c r="L79" s="1066"/>
      <c r="M79" s="1073"/>
    </row>
    <row r="80" spans="1:13" s="4" customFormat="1" ht="13.5" hidden="1" customHeight="1" x14ac:dyDescent="0.2">
      <c r="A80" s="1068">
        <v>70</v>
      </c>
      <c r="B80" s="1072" t="s">
        <v>131</v>
      </c>
      <c r="C80" s="1075"/>
      <c r="D80" s="1066">
        <f>ASTRA!D80+'VIOLE. DOM'!D80+'CCI+CARIEREI'!D80</f>
        <v>0</v>
      </c>
      <c r="E80" s="1066">
        <f>ASTRA!E80+'VIOLE. DOM'!E80+'CCI+CARIEREI'!E80</f>
        <v>0</v>
      </c>
      <c r="F80" s="1067">
        <f>ASTRA!F80+'VIOLE. DOM'!F80+'CCI+CARIEREI'!F80</f>
        <v>0</v>
      </c>
      <c r="G80" s="1062">
        <f>ASTRA!G80+'VIOLE. DOM'!G80+'CCI+CARIEREI'!G80</f>
        <v>0</v>
      </c>
      <c r="H80" s="1062">
        <f>ASTRA!H80+'VIOLE. DOM'!H80+'CCI+CARIEREI'!H80</f>
        <v>0</v>
      </c>
      <c r="I80" s="1062">
        <f>ASTRA!I80+'VIOLE. DOM'!I80+'CCI+CARIEREI'!I80</f>
        <v>0</v>
      </c>
      <c r="J80" s="1062">
        <f>ASTRA!J80+'VIOLE. DOM'!J80+'CCI+CARIEREI'!J80</f>
        <v>0</v>
      </c>
      <c r="K80" s="1066"/>
      <c r="L80" s="1066"/>
      <c r="M80" s="1073"/>
    </row>
    <row r="81" spans="1:13" s="4" customFormat="1" ht="13.5" customHeight="1" x14ac:dyDescent="0.2">
      <c r="A81" s="1068">
        <v>71</v>
      </c>
      <c r="B81" s="1072" t="s">
        <v>364</v>
      </c>
      <c r="C81" s="1075"/>
      <c r="D81" s="1066">
        <f>ASTRA!D81+'VIOLE. DOM'!D81+'CCI+CARIEREI'!D81</f>
        <v>0</v>
      </c>
      <c r="E81" s="1066">
        <f>ASTRA!E81+'VIOLE. DOM'!E81+'CCI+CARIEREI'!E81</f>
        <v>0</v>
      </c>
      <c r="F81" s="1067">
        <f>ASTRA!F81+'VIOLE. DOM'!F81+'CCI+CARIEREI'!F81</f>
        <v>57</v>
      </c>
      <c r="G81" s="1062">
        <f>ASTRA!G81+'VIOLE. DOM'!G81+'CCI+CARIEREI'!G81</f>
        <v>35</v>
      </c>
      <c r="H81" s="1062">
        <f>ASTRA!H81+'VIOLE. DOM'!H81+'CCI+CARIEREI'!H81</f>
        <v>22</v>
      </c>
      <c r="I81" s="1062">
        <f>ASTRA!I81+'VIOLE. DOM'!I81+'CCI+CARIEREI'!I81</f>
        <v>0</v>
      </c>
      <c r="J81" s="1062">
        <f>ASTRA!J81+'VIOLE. DOM'!J81+'CCI+CARIEREI'!J81</f>
        <v>0</v>
      </c>
      <c r="K81" s="1066"/>
      <c r="L81" s="1066"/>
      <c r="M81" s="1073"/>
    </row>
    <row r="82" spans="1:13" s="4" customFormat="1" ht="13.5" hidden="1" customHeight="1" thickBot="1" x14ac:dyDescent="0.25">
      <c r="A82" s="1068">
        <v>72</v>
      </c>
      <c r="B82" s="1090" t="s">
        <v>349</v>
      </c>
      <c r="C82" s="1091"/>
      <c r="D82" s="1066">
        <f>ASTRA!D82+'VIOLE. DOM'!D82+'CCI+CARIEREI'!D82</f>
        <v>0</v>
      </c>
      <c r="E82" s="1066">
        <f>ASTRA!E82+'VIOLE. DOM'!E82+'CCI+CARIEREI'!E82</f>
        <v>0</v>
      </c>
      <c r="F82" s="1067">
        <f>ASTRA!F82+'VIOLE. DOM'!F82+'CCI+CARIEREI'!F82</f>
        <v>0</v>
      </c>
      <c r="G82" s="1062">
        <f>ASTRA!G82+'VIOLE. DOM'!G82+'CCI+CARIEREI'!G82</f>
        <v>0</v>
      </c>
      <c r="H82" s="1062">
        <f>ASTRA!H82+'VIOLE. DOM'!H82+'CCI+CARIEREI'!H82</f>
        <v>0</v>
      </c>
      <c r="I82" s="1062">
        <f>ASTRA!I82+'VIOLE. DOM'!I82+'CCI+CARIEREI'!I82</f>
        <v>0</v>
      </c>
      <c r="J82" s="1062">
        <f>ASTRA!J82+'VIOLE. DOM'!J82+'CCI+CARIEREI'!J82</f>
        <v>0</v>
      </c>
      <c r="K82" s="1066"/>
      <c r="L82" s="1066"/>
      <c r="M82" s="1073"/>
    </row>
    <row r="83" spans="1:13" s="4" customFormat="1" ht="13.5" hidden="1" customHeight="1" x14ac:dyDescent="0.2">
      <c r="A83" s="1068">
        <v>73</v>
      </c>
      <c r="B83" s="1072" t="s">
        <v>245</v>
      </c>
      <c r="C83" s="1093"/>
      <c r="D83" s="1066">
        <f>ASTRA!D83+'VIOLE. DOM'!D83+'CCI+CARIEREI'!D83</f>
        <v>0</v>
      </c>
      <c r="E83" s="1066">
        <f>ASTRA!E83+'VIOLE. DOM'!E83+'CCI+CARIEREI'!E83</f>
        <v>0</v>
      </c>
      <c r="F83" s="1067">
        <f>ASTRA!F83+'VIOLE. DOM'!F83+'CCI+CARIEREI'!F83</f>
        <v>0</v>
      </c>
      <c r="G83" s="1062">
        <f>ASTRA!G83+'VIOLE. DOM'!G83+'CCI+CARIEREI'!G83</f>
        <v>0</v>
      </c>
      <c r="H83" s="1062">
        <f>ASTRA!H83+'VIOLE. DOM'!H83+'CCI+CARIEREI'!H83</f>
        <v>0</v>
      </c>
      <c r="I83" s="1062">
        <f>ASTRA!I83+'VIOLE. DOM'!I83+'CCI+CARIEREI'!I83</f>
        <v>0</v>
      </c>
      <c r="J83" s="1062">
        <f>ASTRA!J83+'VIOLE. DOM'!J83+'CCI+CARIEREI'!J83</f>
        <v>0</v>
      </c>
      <c r="K83" s="1066"/>
      <c r="L83" s="1066"/>
      <c r="M83" s="1073"/>
    </row>
    <row r="84" spans="1:13" s="4" customFormat="1" ht="13.5" customHeight="1" x14ac:dyDescent="0.2">
      <c r="A84" s="1068">
        <v>74</v>
      </c>
      <c r="B84" s="1094" t="s">
        <v>250</v>
      </c>
      <c r="C84" s="1075"/>
      <c r="D84" s="1066">
        <f>ASTRA!D84+'VIOLE. DOM'!D84+'CCI+CARIEREI'!D84</f>
        <v>0</v>
      </c>
      <c r="E84" s="1066">
        <f>ASTRA!E84+'VIOLE. DOM'!E84+'CCI+CARIEREI'!E84</f>
        <v>0</v>
      </c>
      <c r="F84" s="1067">
        <f>ASTRA!F84+'VIOLE. DOM'!F84+'CCI+CARIEREI'!F84</f>
        <v>13</v>
      </c>
      <c r="G84" s="1062">
        <f>ASTRA!G84+'VIOLE. DOM'!G84+'CCI+CARIEREI'!G84</f>
        <v>5</v>
      </c>
      <c r="H84" s="1062">
        <f>ASTRA!H84+'VIOLE. DOM'!H84+'CCI+CARIEREI'!H84</f>
        <v>5</v>
      </c>
      <c r="I84" s="1062">
        <f>ASTRA!I84+'VIOLE. DOM'!I84+'CCI+CARIEREI'!I84</f>
        <v>3</v>
      </c>
      <c r="J84" s="1062">
        <f>ASTRA!J84+'VIOLE. DOM'!J84+'CCI+CARIEREI'!J84</f>
        <v>0</v>
      </c>
      <c r="K84" s="1066"/>
      <c r="L84" s="1066"/>
      <c r="M84" s="1073"/>
    </row>
    <row r="85" spans="1:13" s="4" customFormat="1" ht="13.5" customHeight="1" x14ac:dyDescent="0.2">
      <c r="A85" s="1068">
        <v>75</v>
      </c>
      <c r="B85" s="1094" t="s">
        <v>367</v>
      </c>
      <c r="C85" s="951"/>
      <c r="D85" s="1066">
        <f>ASTRA!D85+'VIOLE. DOM'!D85+'CCI+CARIEREI'!D85</f>
        <v>0</v>
      </c>
      <c r="E85" s="1066">
        <f>ASTRA!E85+'VIOLE. DOM'!E85+'CCI+CARIEREI'!E85</f>
        <v>0</v>
      </c>
      <c r="F85" s="1067">
        <f>ASTRA!F85+'VIOLE. DOM'!F85+'CCI+CARIEREI'!F85</f>
        <v>72</v>
      </c>
      <c r="G85" s="1062">
        <f>ASTRA!G85+'VIOLE. DOM'!G85+'CCI+CARIEREI'!G85</f>
        <v>24</v>
      </c>
      <c r="H85" s="1062">
        <f>ASTRA!H85+'VIOLE. DOM'!H85+'CCI+CARIEREI'!H85</f>
        <v>18</v>
      </c>
      <c r="I85" s="1062">
        <f>ASTRA!I85+'VIOLE. DOM'!I85+'CCI+CARIEREI'!I85</f>
        <v>18</v>
      </c>
      <c r="J85" s="1062">
        <f>ASTRA!J85+'VIOLE. DOM'!J85+'CCI+CARIEREI'!J85</f>
        <v>12</v>
      </c>
      <c r="K85" s="1066"/>
      <c r="L85" s="1066"/>
      <c r="M85" s="1073"/>
    </row>
    <row r="86" spans="1:13" s="4" customFormat="1" ht="13.5" customHeight="1" thickBot="1" x14ac:dyDescent="0.25">
      <c r="A86" s="1095">
        <v>76</v>
      </c>
      <c r="B86" s="1096" t="s">
        <v>338</v>
      </c>
      <c r="C86" s="1097"/>
      <c r="D86" s="1098">
        <f>ASTRA!D86+'VIOLE. DOM'!D86+'CCI+CARIEREI'!D86</f>
        <v>0</v>
      </c>
      <c r="E86" s="1098">
        <f>ASTRA!E86+'VIOLE. DOM'!E86+'CCI+CARIEREI'!E86</f>
        <v>0</v>
      </c>
      <c r="F86" s="1099">
        <f>ASTRA!F86+'VIOLE. DOM'!F86+'CCI+CARIEREI'!F86</f>
        <v>39</v>
      </c>
      <c r="G86" s="1100">
        <f>ASTRA!G86+'VIOLE. DOM'!G86+'CCI+CARIEREI'!G86</f>
        <v>10</v>
      </c>
      <c r="H86" s="1100">
        <f>ASTRA!H86+'VIOLE. DOM'!H86+'CCI+CARIEREI'!H86</f>
        <v>10</v>
      </c>
      <c r="I86" s="1100">
        <f>ASTRA!I86+'VIOLE. DOM'!I86+'CCI+CARIEREI'!I86</f>
        <v>10</v>
      </c>
      <c r="J86" s="1100">
        <f>ASTRA!J86+'VIOLE. DOM'!J86+'CCI+CARIEREI'!J86</f>
        <v>9</v>
      </c>
      <c r="K86" s="1098"/>
      <c r="L86" s="1098"/>
      <c r="M86" s="1101"/>
    </row>
    <row r="87" spans="1:13" s="4" customFormat="1" ht="13.5" hidden="1" customHeight="1" x14ac:dyDescent="0.2">
      <c r="A87" s="34">
        <v>77</v>
      </c>
      <c r="B87" s="85" t="s">
        <v>338</v>
      </c>
      <c r="C87" s="87"/>
      <c r="D87" s="186">
        <f>ASTRA!D87+'VIOLE. DOM'!D87+'CCI+CARIEREI'!D87</f>
        <v>0</v>
      </c>
      <c r="E87" s="186">
        <f>ASTRA!E87+'VIOLE. DOM'!E87+'CCI+CARIEREI'!E87</f>
        <v>0</v>
      </c>
      <c r="F87" s="186">
        <f>ASTRA!F87+'VIOLE. DOM'!F87+'CCI+CARIEREI'!F87</f>
        <v>0</v>
      </c>
      <c r="G87" s="186">
        <f>ASTRA!G87+'VIOLE. DOM'!G87+'CCI+CARIEREI'!G87</f>
        <v>0</v>
      </c>
      <c r="H87" s="186">
        <f>ASTRA!H87+'VIOLE. DOM'!H87+'CCI+CARIEREI'!H87</f>
        <v>0</v>
      </c>
      <c r="I87" s="186">
        <f>ASTRA!I87+'VIOLE. DOM'!I87+'CCI+CARIEREI'!I87</f>
        <v>0</v>
      </c>
      <c r="J87" s="186">
        <f>ASTRA!J87+'VIOLE. DOM'!J87+'CCI+CARIEREI'!J87</f>
        <v>0</v>
      </c>
      <c r="K87" s="186"/>
      <c r="L87" s="186"/>
      <c r="M87" s="186"/>
    </row>
    <row r="88" spans="1:13" s="4" customFormat="1" ht="13.5" hidden="1" customHeight="1" x14ac:dyDescent="0.2">
      <c r="A88" s="47">
        <v>78</v>
      </c>
      <c r="B88" s="197" t="s">
        <v>140</v>
      </c>
      <c r="C88" s="96" t="s">
        <v>141</v>
      </c>
      <c r="D88" s="187">
        <f>ASTRA!D88+'VIOLE. DOM'!D88+'CCI+CARIEREI'!D88</f>
        <v>0</v>
      </c>
      <c r="E88" s="187">
        <f>ASTRA!E88+'VIOLE. DOM'!E88+'CCI+CARIEREI'!E88</f>
        <v>0</v>
      </c>
      <c r="F88" s="187">
        <f>ASTRA!F88+'VIOLE. DOM'!F88+'CCI+CARIEREI'!F88</f>
        <v>0</v>
      </c>
      <c r="G88" s="186">
        <f>ASTRA!G88+'VIOLE. DOM'!G88+'CCI+CARIEREI'!G88</f>
        <v>0</v>
      </c>
      <c r="H88" s="186">
        <f>ASTRA!H88+'VIOLE. DOM'!H88+'CCI+CARIEREI'!H88</f>
        <v>0</v>
      </c>
      <c r="I88" s="186">
        <f>ASTRA!I88+'VIOLE. DOM'!I88+'CCI+CARIEREI'!I88</f>
        <v>0</v>
      </c>
      <c r="J88" s="186">
        <f>ASTRA!J88+'VIOLE. DOM'!J88+'CCI+CARIEREI'!J88</f>
        <v>0</v>
      </c>
      <c r="K88" s="187">
        <f>ASTRA!K88+'VIOLE. DOM'!K88</f>
        <v>0</v>
      </c>
      <c r="L88" s="187">
        <f>ASTRA!L88+'VIOLE. DOM'!L88</f>
        <v>0</v>
      </c>
      <c r="M88" s="187">
        <f>ASTRA!M88+'VIOLE. DOM'!M88</f>
        <v>0</v>
      </c>
    </row>
    <row r="89" spans="1:13" s="4" customFormat="1" ht="13.5" hidden="1" customHeight="1" x14ac:dyDescent="0.2">
      <c r="A89" s="47">
        <v>79</v>
      </c>
      <c r="B89" s="100" t="s">
        <v>142</v>
      </c>
      <c r="C89" s="102" t="s">
        <v>143</v>
      </c>
      <c r="D89" s="187">
        <f>ASTRA!D89+'VIOLE. DOM'!D89+'CCI+CARIEREI'!D89</f>
        <v>0</v>
      </c>
      <c r="E89" s="187">
        <f>ASTRA!E89+'VIOLE. DOM'!E89+'CCI+CARIEREI'!E89</f>
        <v>0</v>
      </c>
      <c r="F89" s="187">
        <f>ASTRA!F89+'VIOLE. DOM'!F89+'CCI+CARIEREI'!F89</f>
        <v>0</v>
      </c>
      <c r="G89" s="186">
        <f>ASTRA!G89+'VIOLE. DOM'!G89+'CCI+CARIEREI'!G89</f>
        <v>0</v>
      </c>
      <c r="H89" s="186">
        <f>ASTRA!H89+'VIOLE. DOM'!H89+'CCI+CARIEREI'!H89</f>
        <v>0</v>
      </c>
      <c r="I89" s="186">
        <f>ASTRA!I89+'VIOLE. DOM'!I89+'CCI+CARIEREI'!I89</f>
        <v>0</v>
      </c>
      <c r="J89" s="186">
        <f>ASTRA!J89+'VIOLE. DOM'!J89+'CCI+CARIEREI'!J89</f>
        <v>0</v>
      </c>
      <c r="K89" s="187">
        <f>ASTRA!K89+'VIOLE. DOM'!K89</f>
        <v>0</v>
      </c>
      <c r="L89" s="187">
        <f>ASTRA!L89+'VIOLE. DOM'!L89</f>
        <v>0</v>
      </c>
      <c r="M89" s="187">
        <f>ASTRA!M89+'VIOLE. DOM'!M89</f>
        <v>0</v>
      </c>
    </row>
    <row r="90" spans="1:13" s="4" customFormat="1" ht="13.5" hidden="1" customHeight="1" thickBot="1" x14ac:dyDescent="0.25">
      <c r="A90" s="47">
        <v>80</v>
      </c>
      <c r="B90" s="106" t="s">
        <v>144</v>
      </c>
      <c r="C90" s="196" t="s">
        <v>145</v>
      </c>
      <c r="D90" s="187">
        <f>ASTRA!D90+'VIOLE. DOM'!D90+'CCI+CARIEREI'!D90</f>
        <v>0</v>
      </c>
      <c r="E90" s="187">
        <f>ASTRA!E90+'VIOLE. DOM'!E90+'CCI+CARIEREI'!E90</f>
        <v>0</v>
      </c>
      <c r="F90" s="187">
        <f>ASTRA!F90+'VIOLE. DOM'!F90+'CCI+CARIEREI'!F90</f>
        <v>0</v>
      </c>
      <c r="G90" s="186">
        <f>ASTRA!G90+'VIOLE. DOM'!G90+'CCI+CARIEREI'!G90</f>
        <v>0</v>
      </c>
      <c r="H90" s="186">
        <f>ASTRA!H90+'VIOLE. DOM'!H90+'CCI+CARIEREI'!H90</f>
        <v>0</v>
      </c>
      <c r="I90" s="186">
        <f>ASTRA!I90+'VIOLE. DOM'!I90+'CCI+CARIEREI'!I90</f>
        <v>0</v>
      </c>
      <c r="J90" s="186">
        <f>ASTRA!J90+'VIOLE. DOM'!J90+'CCI+CARIEREI'!J90</f>
        <v>0</v>
      </c>
      <c r="K90" s="187">
        <f>ASTRA!K90+'VIOLE. DOM'!K90</f>
        <v>0</v>
      </c>
      <c r="L90" s="187">
        <f>ASTRA!L90+'VIOLE. DOM'!L90</f>
        <v>0</v>
      </c>
      <c r="M90" s="187">
        <f>ASTRA!M90+'VIOLE. DOM'!M90</f>
        <v>0</v>
      </c>
    </row>
    <row r="91" spans="1:13" s="4" customFormat="1" ht="13.5" hidden="1" customHeight="1" x14ac:dyDescent="0.2">
      <c r="A91" s="47">
        <v>81</v>
      </c>
      <c r="B91" s="35" t="s">
        <v>146</v>
      </c>
      <c r="C91" s="96" t="s">
        <v>147</v>
      </c>
      <c r="D91" s="187">
        <f>ASTRA!D91+'VIOLE. DOM'!D91+'CCI+CARIEREI'!D91</f>
        <v>0</v>
      </c>
      <c r="E91" s="187">
        <f>ASTRA!E91+'VIOLE. DOM'!E91+'CCI+CARIEREI'!E91</f>
        <v>0</v>
      </c>
      <c r="F91" s="187">
        <f>ASTRA!F91+'VIOLE. DOM'!F91+'CCI+CARIEREI'!F91</f>
        <v>0</v>
      </c>
      <c r="G91" s="186">
        <f>ASTRA!G91+'VIOLE. DOM'!G91+'CCI+CARIEREI'!G91</f>
        <v>0</v>
      </c>
      <c r="H91" s="186">
        <f>ASTRA!H91+'VIOLE. DOM'!H91+'CCI+CARIEREI'!H91</f>
        <v>0</v>
      </c>
      <c r="I91" s="186">
        <f>ASTRA!I91+'VIOLE. DOM'!I91+'CCI+CARIEREI'!I91</f>
        <v>0</v>
      </c>
      <c r="J91" s="186">
        <f>ASTRA!J91+'VIOLE. DOM'!J91+'CCI+CARIEREI'!J91</f>
        <v>0</v>
      </c>
      <c r="K91" s="187">
        <f>ASTRA!K91+'VIOLE. DOM'!K91</f>
        <v>0</v>
      </c>
      <c r="L91" s="187">
        <f>ASTRA!L91+'VIOLE. DOM'!L91</f>
        <v>0</v>
      </c>
      <c r="M91" s="187">
        <f>ASTRA!M91+'VIOLE. DOM'!M91</f>
        <v>0</v>
      </c>
    </row>
    <row r="92" spans="1:13" s="4" customFormat="1" ht="13.5" hidden="1" customHeight="1" x14ac:dyDescent="0.2">
      <c r="A92" s="47">
        <v>82</v>
      </c>
      <c r="B92" s="55" t="s">
        <v>148</v>
      </c>
      <c r="C92" s="114" t="s">
        <v>149</v>
      </c>
      <c r="D92" s="187">
        <f>ASTRA!D92+'VIOLE. DOM'!D92+'CCI+CARIEREI'!D92</f>
        <v>0</v>
      </c>
      <c r="E92" s="187">
        <f>ASTRA!E92+'VIOLE. DOM'!E92+'CCI+CARIEREI'!E92</f>
        <v>0</v>
      </c>
      <c r="F92" s="187">
        <f>ASTRA!F92+'VIOLE. DOM'!F92+'CCI+CARIEREI'!F92</f>
        <v>0</v>
      </c>
      <c r="G92" s="186">
        <f>ASTRA!G92+'VIOLE. DOM'!G92+'CCI+CARIEREI'!G92</f>
        <v>0</v>
      </c>
      <c r="H92" s="186">
        <f>ASTRA!H92+'VIOLE. DOM'!H92+'CCI+CARIEREI'!H92</f>
        <v>0</v>
      </c>
      <c r="I92" s="186">
        <f>ASTRA!I92+'VIOLE. DOM'!I92+'CCI+CARIEREI'!I92</f>
        <v>0</v>
      </c>
      <c r="J92" s="186">
        <f>ASTRA!J92+'VIOLE. DOM'!J92+'CCI+CARIEREI'!J92</f>
        <v>0</v>
      </c>
      <c r="K92" s="187">
        <f>ASTRA!K92+'VIOLE. DOM'!K92</f>
        <v>0</v>
      </c>
      <c r="L92" s="187">
        <f>ASTRA!L92+'VIOLE. DOM'!L92</f>
        <v>0</v>
      </c>
      <c r="M92" s="187">
        <f>ASTRA!M92+'VIOLE. DOM'!M92</f>
        <v>0</v>
      </c>
    </row>
    <row r="93" spans="1:13" s="4" customFormat="1" ht="13.5" hidden="1" customHeight="1" x14ac:dyDescent="0.2">
      <c r="A93" s="47">
        <v>83</v>
      </c>
      <c r="B93" s="115" t="s">
        <v>150</v>
      </c>
      <c r="C93" s="114" t="s">
        <v>151</v>
      </c>
      <c r="D93" s="187">
        <f>ASTRA!D93+'VIOLE. DOM'!D93+'CCI+CARIEREI'!D93</f>
        <v>0</v>
      </c>
      <c r="E93" s="187">
        <f>ASTRA!E93+'VIOLE. DOM'!E93+'CCI+CARIEREI'!E93</f>
        <v>0</v>
      </c>
      <c r="F93" s="187">
        <f>ASTRA!F93+'VIOLE. DOM'!F93+'CCI+CARIEREI'!F93</f>
        <v>0</v>
      </c>
      <c r="G93" s="186">
        <f>ASTRA!G93+'VIOLE. DOM'!G93+'CCI+CARIEREI'!G93</f>
        <v>0</v>
      </c>
      <c r="H93" s="186">
        <f>ASTRA!H93+'VIOLE. DOM'!H93+'CCI+CARIEREI'!H93</f>
        <v>0</v>
      </c>
      <c r="I93" s="186">
        <f>ASTRA!I93+'VIOLE. DOM'!I93+'CCI+CARIEREI'!I93</f>
        <v>0</v>
      </c>
      <c r="J93" s="186">
        <f>ASTRA!J93+'VIOLE. DOM'!J93+'CCI+CARIEREI'!J93</f>
        <v>0</v>
      </c>
      <c r="K93" s="187">
        <f>ASTRA!K93+'VIOLE. DOM'!K93</f>
        <v>0</v>
      </c>
      <c r="L93" s="187">
        <f>ASTRA!L93+'VIOLE. DOM'!L93</f>
        <v>0</v>
      </c>
      <c r="M93" s="187">
        <f>ASTRA!M93+'VIOLE. DOM'!M93</f>
        <v>0</v>
      </c>
    </row>
    <row r="94" spans="1:13" s="4" customFormat="1" ht="13.5" hidden="1" customHeight="1" x14ac:dyDescent="0.2">
      <c r="A94" s="47">
        <v>84</v>
      </c>
      <c r="B94" s="115" t="s">
        <v>152</v>
      </c>
      <c r="C94" s="114" t="s">
        <v>153</v>
      </c>
      <c r="D94" s="187">
        <f>ASTRA!D94+'VIOLE. DOM'!D94+'CCI+CARIEREI'!D94</f>
        <v>0</v>
      </c>
      <c r="E94" s="187">
        <f>ASTRA!E94+'VIOLE. DOM'!E94+'CCI+CARIEREI'!E94</f>
        <v>0</v>
      </c>
      <c r="F94" s="187">
        <f>ASTRA!F94+'VIOLE. DOM'!F94+'CCI+CARIEREI'!F94</f>
        <v>0</v>
      </c>
      <c r="G94" s="186">
        <f>ASTRA!G94+'VIOLE. DOM'!G94+'CCI+CARIEREI'!G94</f>
        <v>0</v>
      </c>
      <c r="H94" s="186">
        <f>ASTRA!H94+'VIOLE. DOM'!H94+'CCI+CARIEREI'!H94</f>
        <v>0</v>
      </c>
      <c r="I94" s="186">
        <f>ASTRA!I94+'VIOLE. DOM'!I94+'CCI+CARIEREI'!I94</f>
        <v>0</v>
      </c>
      <c r="J94" s="186">
        <f>ASTRA!J94+'VIOLE. DOM'!J94+'CCI+CARIEREI'!J94</f>
        <v>0</v>
      </c>
      <c r="K94" s="187">
        <f>ASTRA!K94+'VIOLE. DOM'!K94</f>
        <v>0</v>
      </c>
      <c r="L94" s="187">
        <f>ASTRA!L94+'VIOLE. DOM'!L94</f>
        <v>0</v>
      </c>
      <c r="M94" s="187">
        <f>ASTRA!M94+'VIOLE. DOM'!M94</f>
        <v>0</v>
      </c>
    </row>
    <row r="95" spans="1:13" s="4" customFormat="1" ht="13.5" hidden="1" customHeight="1" x14ac:dyDescent="0.2">
      <c r="A95" s="47">
        <v>85</v>
      </c>
      <c r="B95" s="116" t="s">
        <v>154</v>
      </c>
      <c r="C95" s="117"/>
      <c r="D95" s="187">
        <f>ASTRA!D95+'VIOLE. DOM'!D95+'CCI+CARIEREI'!D95</f>
        <v>0</v>
      </c>
      <c r="E95" s="187">
        <f>ASTRA!E95+'VIOLE. DOM'!E95+'CCI+CARIEREI'!E95</f>
        <v>0</v>
      </c>
      <c r="F95" s="187">
        <f>ASTRA!F95+'VIOLE. DOM'!F95+'CCI+CARIEREI'!F95</f>
        <v>0</v>
      </c>
      <c r="G95" s="186">
        <f>ASTRA!G95+'VIOLE. DOM'!G95+'CCI+CARIEREI'!G95</f>
        <v>0</v>
      </c>
      <c r="H95" s="186">
        <f>ASTRA!H95+'VIOLE. DOM'!H95+'CCI+CARIEREI'!H95</f>
        <v>0</v>
      </c>
      <c r="I95" s="186">
        <f>ASTRA!I95+'VIOLE. DOM'!I95+'CCI+CARIEREI'!I95</f>
        <v>0</v>
      </c>
      <c r="J95" s="186">
        <f>ASTRA!J95+'VIOLE. DOM'!J95+'CCI+CARIEREI'!J95</f>
        <v>0</v>
      </c>
      <c r="K95" s="187">
        <f>ASTRA!K95+'VIOLE. DOM'!K95</f>
        <v>0</v>
      </c>
      <c r="L95" s="187">
        <f>ASTRA!L95+'VIOLE. DOM'!L95</f>
        <v>0</v>
      </c>
      <c r="M95" s="187">
        <f>ASTRA!M95+'VIOLE. DOM'!M95</f>
        <v>0</v>
      </c>
    </row>
    <row r="96" spans="1:13" s="4" customFormat="1" ht="13.5" hidden="1" customHeight="1" x14ac:dyDescent="0.2">
      <c r="A96" s="47">
        <v>86</v>
      </c>
      <c r="B96" s="116" t="s">
        <v>155</v>
      </c>
      <c r="C96" s="117"/>
      <c r="D96" s="187">
        <f>ASTRA!D96+'VIOLE. DOM'!D96+'CCI+CARIEREI'!D96</f>
        <v>0</v>
      </c>
      <c r="E96" s="187">
        <f>ASTRA!E96+'VIOLE. DOM'!E96+'CCI+CARIEREI'!E96</f>
        <v>0</v>
      </c>
      <c r="F96" s="187">
        <f>ASTRA!F96+'VIOLE. DOM'!F96+'CCI+CARIEREI'!F96</f>
        <v>0</v>
      </c>
      <c r="G96" s="186">
        <f>ASTRA!G96+'VIOLE. DOM'!G96+'CCI+CARIEREI'!G96</f>
        <v>0</v>
      </c>
      <c r="H96" s="186">
        <f>ASTRA!H96+'VIOLE. DOM'!H96+'CCI+CARIEREI'!H96</f>
        <v>0</v>
      </c>
      <c r="I96" s="186">
        <f>ASTRA!I96+'VIOLE. DOM'!I96+'CCI+CARIEREI'!I96</f>
        <v>0</v>
      </c>
      <c r="J96" s="186">
        <f>ASTRA!J96+'VIOLE. DOM'!J96+'CCI+CARIEREI'!J96</f>
        <v>0</v>
      </c>
      <c r="K96" s="187">
        <f>ASTRA!K96+'VIOLE. DOM'!K96</f>
        <v>0</v>
      </c>
      <c r="L96" s="187">
        <f>ASTRA!L96+'VIOLE. DOM'!L96</f>
        <v>0</v>
      </c>
      <c r="M96" s="187">
        <f>ASTRA!M96+'VIOLE. DOM'!M96</f>
        <v>0</v>
      </c>
    </row>
    <row r="97" spans="1:13" s="4" customFormat="1" ht="13.5" hidden="1" customHeight="1" x14ac:dyDescent="0.2">
      <c r="A97" s="47">
        <v>87</v>
      </c>
      <c r="B97" s="116" t="s">
        <v>156</v>
      </c>
      <c r="C97" s="117"/>
      <c r="D97" s="187">
        <f>ASTRA!D97+'VIOLE. DOM'!D97+'CCI+CARIEREI'!D97</f>
        <v>0</v>
      </c>
      <c r="E97" s="187">
        <f>ASTRA!E97+'VIOLE. DOM'!E97+'CCI+CARIEREI'!E97</f>
        <v>0</v>
      </c>
      <c r="F97" s="187">
        <f>ASTRA!F97+'VIOLE. DOM'!F97+'CCI+CARIEREI'!F97</f>
        <v>0</v>
      </c>
      <c r="G97" s="186">
        <f>ASTRA!G97+'VIOLE. DOM'!G97+'CCI+CARIEREI'!G97</f>
        <v>0</v>
      </c>
      <c r="H97" s="186">
        <f>ASTRA!H97+'VIOLE. DOM'!H97+'CCI+CARIEREI'!H97</f>
        <v>0</v>
      </c>
      <c r="I97" s="186">
        <f>ASTRA!I97+'VIOLE. DOM'!I97+'CCI+CARIEREI'!I97</f>
        <v>0</v>
      </c>
      <c r="J97" s="186">
        <f>ASTRA!J97+'VIOLE. DOM'!J97+'CCI+CARIEREI'!J97</f>
        <v>0</v>
      </c>
      <c r="K97" s="187">
        <f>ASTRA!K97+'VIOLE. DOM'!K97</f>
        <v>0</v>
      </c>
      <c r="L97" s="187">
        <f>ASTRA!L97+'VIOLE. DOM'!L97</f>
        <v>0</v>
      </c>
      <c r="M97" s="187">
        <f>ASTRA!M97+'VIOLE. DOM'!M97</f>
        <v>0</v>
      </c>
    </row>
    <row r="98" spans="1:13" s="4" customFormat="1" ht="13.5" hidden="1" customHeight="1" x14ac:dyDescent="0.2">
      <c r="A98" s="47">
        <v>88</v>
      </c>
      <c r="B98" s="119" t="s">
        <v>157</v>
      </c>
      <c r="C98" s="117"/>
      <c r="D98" s="187">
        <f>ASTRA!D98+'VIOLE. DOM'!D98+'CCI+CARIEREI'!D98</f>
        <v>0</v>
      </c>
      <c r="E98" s="187">
        <f>ASTRA!E98+'VIOLE. DOM'!E98+'CCI+CARIEREI'!E98</f>
        <v>0</v>
      </c>
      <c r="F98" s="187">
        <f>ASTRA!F98+'VIOLE. DOM'!F98+'CCI+CARIEREI'!F98</f>
        <v>0</v>
      </c>
      <c r="G98" s="186">
        <f>ASTRA!G98+'VIOLE. DOM'!G98+'CCI+CARIEREI'!G98</f>
        <v>0</v>
      </c>
      <c r="H98" s="186">
        <f>ASTRA!H98+'VIOLE. DOM'!H98+'CCI+CARIEREI'!H98</f>
        <v>0</v>
      </c>
      <c r="I98" s="186">
        <f>ASTRA!I98+'VIOLE. DOM'!I98+'CCI+CARIEREI'!I98</f>
        <v>0</v>
      </c>
      <c r="J98" s="186">
        <f>ASTRA!J98+'VIOLE. DOM'!J98+'CCI+CARIEREI'!J98</f>
        <v>0</v>
      </c>
      <c r="K98" s="187">
        <f>ASTRA!K98+'VIOLE. DOM'!K98</f>
        <v>0</v>
      </c>
      <c r="L98" s="187">
        <f>ASTRA!L98+'VIOLE. DOM'!L98</f>
        <v>0</v>
      </c>
      <c r="M98" s="187">
        <f>ASTRA!M98+'VIOLE. DOM'!M98</f>
        <v>0</v>
      </c>
    </row>
    <row r="99" spans="1:13" s="4" customFormat="1" ht="13.5" hidden="1" customHeight="1" x14ac:dyDescent="0.2">
      <c r="A99" s="47">
        <v>89</v>
      </c>
      <c r="B99" s="120" t="s">
        <v>158</v>
      </c>
      <c r="C99" s="117"/>
      <c r="D99" s="187">
        <f>ASTRA!D99+'VIOLE. DOM'!D99+'CCI+CARIEREI'!D99</f>
        <v>0</v>
      </c>
      <c r="E99" s="187">
        <f>ASTRA!E99+'VIOLE. DOM'!E99+'CCI+CARIEREI'!E99</f>
        <v>0</v>
      </c>
      <c r="F99" s="187">
        <f>ASTRA!F99+'VIOLE. DOM'!F99+'CCI+CARIEREI'!F99</f>
        <v>0</v>
      </c>
      <c r="G99" s="186">
        <f>ASTRA!G99+'VIOLE. DOM'!G99+'CCI+CARIEREI'!G99</f>
        <v>0</v>
      </c>
      <c r="H99" s="186">
        <f>ASTRA!H99+'VIOLE. DOM'!H99+'CCI+CARIEREI'!H99</f>
        <v>0</v>
      </c>
      <c r="I99" s="186">
        <f>ASTRA!I99+'VIOLE. DOM'!I99+'CCI+CARIEREI'!I99</f>
        <v>0</v>
      </c>
      <c r="J99" s="186">
        <f>ASTRA!J99+'VIOLE. DOM'!J99+'CCI+CARIEREI'!J99</f>
        <v>0</v>
      </c>
      <c r="K99" s="187">
        <f>ASTRA!K99+'VIOLE. DOM'!K99</f>
        <v>0</v>
      </c>
      <c r="L99" s="187">
        <f>ASTRA!L99+'VIOLE. DOM'!L99</f>
        <v>0</v>
      </c>
      <c r="M99" s="187">
        <f>ASTRA!M99+'VIOLE. DOM'!M99</f>
        <v>0</v>
      </c>
    </row>
    <row r="100" spans="1:13" s="4" customFormat="1" ht="13.5" hidden="1" customHeight="1" x14ac:dyDescent="0.2">
      <c r="A100" s="47">
        <v>90</v>
      </c>
      <c r="B100" s="121" t="s">
        <v>159</v>
      </c>
      <c r="C100" s="117"/>
      <c r="D100" s="187">
        <f>ASTRA!D100+'VIOLE. DOM'!D100+'CCI+CARIEREI'!D100</f>
        <v>0</v>
      </c>
      <c r="E100" s="187">
        <f>ASTRA!E100+'VIOLE. DOM'!E100+'CCI+CARIEREI'!E100</f>
        <v>0</v>
      </c>
      <c r="F100" s="187">
        <f>ASTRA!F100+'VIOLE. DOM'!F100+'CCI+CARIEREI'!F100</f>
        <v>0</v>
      </c>
      <c r="G100" s="186">
        <f>ASTRA!G100+'VIOLE. DOM'!G100+'CCI+CARIEREI'!G100</f>
        <v>0</v>
      </c>
      <c r="H100" s="186">
        <f>ASTRA!H100+'VIOLE. DOM'!H100+'CCI+CARIEREI'!H100</f>
        <v>0</v>
      </c>
      <c r="I100" s="186">
        <f>ASTRA!I100+'VIOLE. DOM'!I100+'CCI+CARIEREI'!I100</f>
        <v>0</v>
      </c>
      <c r="J100" s="186">
        <f>ASTRA!J100+'VIOLE. DOM'!J100+'CCI+CARIEREI'!J100</f>
        <v>0</v>
      </c>
      <c r="K100" s="187">
        <f>ASTRA!K100+'VIOLE. DOM'!K100</f>
        <v>0</v>
      </c>
      <c r="L100" s="187">
        <f>ASTRA!L100+'VIOLE. DOM'!L100</f>
        <v>0</v>
      </c>
      <c r="M100" s="187">
        <f>ASTRA!M100+'VIOLE. DOM'!M100</f>
        <v>0</v>
      </c>
    </row>
    <row r="101" spans="1:13" s="4" customFormat="1" ht="13.5" hidden="1" customHeight="1" x14ac:dyDescent="0.2">
      <c r="A101" s="47">
        <v>91</v>
      </c>
      <c r="B101" s="198" t="s">
        <v>160</v>
      </c>
      <c r="C101" s="107"/>
      <c r="D101" s="199">
        <f>ASTRA!D101+'VIOLE. DOM'!D101+'CCI+CARIEREI'!D101</f>
        <v>0</v>
      </c>
      <c r="E101" s="199">
        <f>ASTRA!E101+'VIOLE. DOM'!E101+'CCI+CARIEREI'!E101</f>
        <v>0</v>
      </c>
      <c r="F101" s="199">
        <f>ASTRA!F101+'VIOLE. DOM'!F101+'CCI+CARIEREI'!F101</f>
        <v>0</v>
      </c>
      <c r="G101" s="186">
        <f>ASTRA!G101+'VIOLE. DOM'!G101+'CCI+CARIEREI'!G101</f>
        <v>0</v>
      </c>
      <c r="H101" s="186">
        <f>ASTRA!H101+'VIOLE. DOM'!H101+'CCI+CARIEREI'!H101</f>
        <v>0</v>
      </c>
      <c r="I101" s="186">
        <f>ASTRA!I101+'VIOLE. DOM'!I101+'CCI+CARIEREI'!I101</f>
        <v>0</v>
      </c>
      <c r="J101" s="186">
        <f>ASTRA!J101+'VIOLE. DOM'!J101+'CCI+CARIEREI'!J101</f>
        <v>0</v>
      </c>
      <c r="K101" s="187">
        <f>ASTRA!K101+'VIOLE. DOM'!K101</f>
        <v>0</v>
      </c>
      <c r="L101" s="187">
        <f>ASTRA!L101+'VIOLE. DOM'!L101</f>
        <v>0</v>
      </c>
      <c r="M101" s="187">
        <f>ASTRA!M101+'VIOLE. DOM'!M101</f>
        <v>0</v>
      </c>
    </row>
    <row r="102" spans="1:13" s="4" customFormat="1" hidden="1" x14ac:dyDescent="0.2">
      <c r="A102" s="47">
        <v>92</v>
      </c>
      <c r="B102" s="200" t="s">
        <v>161</v>
      </c>
      <c r="C102" s="201"/>
      <c r="D102" s="187">
        <f>ASTRA!D102+'VIOLE. DOM'!D102+'CCI+CARIEREI'!D102</f>
        <v>0</v>
      </c>
      <c r="E102" s="187">
        <f>ASTRA!E102+'VIOLE. DOM'!E102+'CCI+CARIEREI'!E102</f>
        <v>0</v>
      </c>
      <c r="F102" s="187">
        <f>ASTRA!F102+'VIOLE. DOM'!F102+'CCI+CARIEREI'!F102</f>
        <v>0</v>
      </c>
      <c r="G102" s="186">
        <f>ASTRA!G102+'VIOLE. DOM'!G102+'CCI+CARIEREI'!G102</f>
        <v>0</v>
      </c>
      <c r="H102" s="186">
        <f>ASTRA!H102+'VIOLE. DOM'!H102+'CCI+CARIEREI'!H102</f>
        <v>0</v>
      </c>
      <c r="I102" s="186">
        <f>ASTRA!I102+'VIOLE. DOM'!I102+'CCI+CARIEREI'!I102</f>
        <v>0</v>
      </c>
      <c r="J102" s="186">
        <f>ASTRA!J102+'VIOLE. DOM'!J102+'CCI+CARIEREI'!J102</f>
        <v>0</v>
      </c>
      <c r="K102" s="191">
        <f>ASTRA!K102+'VIOLE. DOM'!K102</f>
        <v>0</v>
      </c>
      <c r="L102" s="191">
        <f>ASTRA!L102+'VIOLE. DOM'!L102</f>
        <v>0</v>
      </c>
      <c r="M102" s="191">
        <f>ASTRA!M102+'VIOLE. DOM'!M102</f>
        <v>0</v>
      </c>
    </row>
    <row r="103" spans="1:13" s="4" customFormat="1" hidden="1" x14ac:dyDescent="0.2">
      <c r="A103" s="47">
        <v>93</v>
      </c>
      <c r="B103" s="4" t="s">
        <v>162</v>
      </c>
      <c r="C103" s="202"/>
      <c r="D103" s="203"/>
      <c r="E103" s="204"/>
      <c r="F103" s="205"/>
      <c r="G103" s="191"/>
      <c r="H103" s="191"/>
      <c r="I103" s="191"/>
      <c r="J103" s="206"/>
      <c r="K103" s="207"/>
      <c r="L103" s="191"/>
      <c r="M103" s="208"/>
    </row>
    <row r="104" spans="1:13" s="4" customFormat="1" hidden="1" x14ac:dyDescent="0.2">
      <c r="A104" s="47">
        <v>94</v>
      </c>
      <c r="B104" s="122" t="s">
        <v>163</v>
      </c>
      <c r="C104" s="209"/>
      <c r="D104" s="210"/>
      <c r="E104" s="211"/>
      <c r="F104" s="212"/>
      <c r="G104" s="191"/>
      <c r="H104" s="191"/>
      <c r="I104" s="191"/>
      <c r="J104" s="206"/>
      <c r="K104" s="207"/>
      <c r="L104" s="191"/>
      <c r="M104" s="208"/>
    </row>
    <row r="105" spans="1:13" s="4" customFormat="1" hidden="1" x14ac:dyDescent="0.2">
      <c r="A105" s="47">
        <v>95</v>
      </c>
      <c r="B105" s="122" t="s">
        <v>164</v>
      </c>
      <c r="C105" s="209"/>
      <c r="D105" s="210"/>
      <c r="E105" s="211"/>
      <c r="F105" s="212"/>
      <c r="G105" s="191"/>
      <c r="H105" s="191"/>
      <c r="I105" s="191"/>
      <c r="J105" s="206"/>
      <c r="K105" s="207"/>
      <c r="L105" s="191"/>
      <c r="M105" s="208"/>
    </row>
    <row r="106" spans="1:13" s="4" customFormat="1" hidden="1" x14ac:dyDescent="0.2">
      <c r="A106" s="47">
        <v>96</v>
      </c>
      <c r="B106" s="213"/>
      <c r="C106" s="93"/>
      <c r="D106" s="214"/>
      <c r="E106" s="215"/>
      <c r="F106" s="212"/>
      <c r="G106" s="191"/>
      <c r="H106" s="191"/>
      <c r="I106" s="206"/>
      <c r="J106" s="216"/>
      <c r="K106" s="205"/>
      <c r="L106" s="215"/>
      <c r="M106" s="217"/>
    </row>
    <row r="107" spans="1:13" s="4" customFormat="1" ht="13.5" hidden="1" thickBot="1" x14ac:dyDescent="0.25">
      <c r="A107" s="47">
        <v>97</v>
      </c>
      <c r="B107" s="218" t="s">
        <v>165</v>
      </c>
      <c r="C107" s="96" t="s">
        <v>166</v>
      </c>
      <c r="D107" s="219"/>
      <c r="E107" s="220">
        <f>ASTRA!E107+'VIOLE. DOM'!E107</f>
        <v>0</v>
      </c>
      <c r="F107" s="221">
        <f>ASTRA!F107+'VIOLE. DOM'!F107</f>
        <v>0</v>
      </c>
      <c r="G107" s="187">
        <f>ASTRA!G107+'VIOLE. DOM'!G107</f>
        <v>0</v>
      </c>
      <c r="H107" s="187">
        <f>ASTRA!H107+'VIOLE. DOM'!H107</f>
        <v>0</v>
      </c>
      <c r="I107" s="222">
        <f>ASTRA!I107+'VIOLE. DOM'!I107</f>
        <v>0</v>
      </c>
      <c r="J107" s="223">
        <f>ASTRA!J107+'VIOLE. DOM'!J107</f>
        <v>0</v>
      </c>
      <c r="K107" s="186">
        <f>ASTRA!K107+'VIOLE. DOM'!K107</f>
        <v>0</v>
      </c>
      <c r="L107" s="224">
        <f>ASTRA!L107+'VIOLE. DOM'!L107</f>
        <v>0</v>
      </c>
      <c r="M107" s="225">
        <f>ASTRA!M107+'VIOLE. DOM'!M107</f>
        <v>0</v>
      </c>
    </row>
    <row r="108" spans="1:13" s="4" customFormat="1" ht="13.5" hidden="1" thickBot="1" x14ac:dyDescent="0.25">
      <c r="A108" s="47">
        <v>98</v>
      </c>
      <c r="B108" s="124" t="s">
        <v>167</v>
      </c>
      <c r="C108" s="117"/>
      <c r="D108" s="226"/>
      <c r="E108" s="227">
        <f>ASTRA!E108+'VIOLE. DOM'!E108</f>
        <v>0</v>
      </c>
      <c r="F108" s="221">
        <f>ASTRA!F108+'VIOLE. DOM'!F108</f>
        <v>0</v>
      </c>
      <c r="G108" s="187">
        <f>ASTRA!G108+'VIOLE. DOM'!G108</f>
        <v>0</v>
      </c>
      <c r="H108" s="187">
        <f>ASTRA!H108+'VIOLE. DOM'!H108</f>
        <v>0</v>
      </c>
      <c r="I108" s="222">
        <f>ASTRA!I108+'VIOLE. DOM'!I108</f>
        <v>0</v>
      </c>
      <c r="J108" s="228">
        <f>ASTRA!J108+'VIOLE. DOM'!J108</f>
        <v>0</v>
      </c>
      <c r="K108" s="187">
        <f>ASTRA!K108+'VIOLE. DOM'!K108</f>
        <v>0</v>
      </c>
      <c r="L108" s="222">
        <f>ASTRA!L108+'VIOLE. DOM'!L108</f>
        <v>0</v>
      </c>
      <c r="M108" s="229">
        <f>ASTRA!M108+'VIOLE. DOM'!M108</f>
        <v>0</v>
      </c>
    </row>
    <row r="109" spans="1:13" s="4" customFormat="1" ht="13.5" hidden="1" thickBot="1" x14ac:dyDescent="0.25">
      <c r="A109" s="47">
        <v>99</v>
      </c>
      <c r="B109" s="125" t="s">
        <v>168</v>
      </c>
      <c r="C109" s="117"/>
      <c r="D109" s="226"/>
      <c r="E109" s="227">
        <f>ASTRA!E109+'VIOLE. DOM'!E109</f>
        <v>0</v>
      </c>
      <c r="F109" s="221">
        <f>ASTRA!F109+'VIOLE. DOM'!F109</f>
        <v>0</v>
      </c>
      <c r="G109" s="187">
        <f>ASTRA!G109+'VIOLE. DOM'!G109</f>
        <v>0</v>
      </c>
      <c r="H109" s="187">
        <f>ASTRA!H109+'VIOLE. DOM'!H109</f>
        <v>0</v>
      </c>
      <c r="I109" s="222">
        <f>ASTRA!I109+'VIOLE. DOM'!I109</f>
        <v>0</v>
      </c>
      <c r="J109" s="228">
        <f>ASTRA!J109+'VIOLE. DOM'!J109</f>
        <v>0</v>
      </c>
      <c r="K109" s="187">
        <f>ASTRA!K109+'VIOLE. DOM'!K109</f>
        <v>0</v>
      </c>
      <c r="L109" s="222">
        <f>ASTRA!L109+'VIOLE. DOM'!L109</f>
        <v>0</v>
      </c>
      <c r="M109" s="229">
        <f>ASTRA!M109+'VIOLE. DOM'!M109</f>
        <v>0</v>
      </c>
    </row>
    <row r="110" spans="1:13" s="4" customFormat="1" ht="13.5" hidden="1" thickBot="1" x14ac:dyDescent="0.25">
      <c r="A110" s="47">
        <v>100</v>
      </c>
      <c r="B110" s="116" t="s">
        <v>169</v>
      </c>
      <c r="C110" s="117"/>
      <c r="D110" s="226"/>
      <c r="E110" s="227">
        <f>ASTRA!E110+'VIOLE. DOM'!E110</f>
        <v>0</v>
      </c>
      <c r="F110" s="221">
        <f>ASTRA!F110+'VIOLE. DOM'!F110</f>
        <v>0</v>
      </c>
      <c r="G110" s="187">
        <f>ASTRA!G110+'VIOLE. DOM'!G110</f>
        <v>0</v>
      </c>
      <c r="H110" s="187">
        <f>ASTRA!H110+'VIOLE. DOM'!H110</f>
        <v>0</v>
      </c>
      <c r="I110" s="222">
        <f>ASTRA!I110+'VIOLE. DOM'!I110</f>
        <v>0</v>
      </c>
      <c r="J110" s="228">
        <f>ASTRA!J110+'VIOLE. DOM'!J110</f>
        <v>0</v>
      </c>
      <c r="K110" s="187">
        <f>ASTRA!K110+'VIOLE. DOM'!K110</f>
        <v>0</v>
      </c>
      <c r="L110" s="222">
        <f>ASTRA!L110+'VIOLE. DOM'!L110</f>
        <v>0</v>
      </c>
      <c r="M110" s="229">
        <f>ASTRA!M110+'VIOLE. DOM'!M110</f>
        <v>0</v>
      </c>
    </row>
    <row r="111" spans="1:13" s="4" customFormat="1" ht="13.5" hidden="1" thickBot="1" x14ac:dyDescent="0.25">
      <c r="A111" s="47">
        <v>101</v>
      </c>
      <c r="B111" s="116" t="s">
        <v>170</v>
      </c>
      <c r="C111" s="117"/>
      <c r="D111" s="226"/>
      <c r="E111" s="227">
        <f>ASTRA!E111+'VIOLE. DOM'!E111</f>
        <v>0</v>
      </c>
      <c r="F111" s="221">
        <f>ASTRA!F111+'VIOLE. DOM'!F111</f>
        <v>0</v>
      </c>
      <c r="G111" s="187">
        <f>ASTRA!G111+'VIOLE. DOM'!G111</f>
        <v>0</v>
      </c>
      <c r="H111" s="187">
        <f>ASTRA!H111+'VIOLE. DOM'!H111</f>
        <v>0</v>
      </c>
      <c r="I111" s="222">
        <f>ASTRA!I111+'VIOLE. DOM'!I111</f>
        <v>0</v>
      </c>
      <c r="J111" s="228">
        <f>ASTRA!J111+'VIOLE. DOM'!J111</f>
        <v>0</v>
      </c>
      <c r="K111" s="187">
        <f>ASTRA!K111+'VIOLE. DOM'!K111</f>
        <v>0</v>
      </c>
      <c r="L111" s="222">
        <f>ASTRA!L111+'VIOLE. DOM'!L111</f>
        <v>0</v>
      </c>
      <c r="M111" s="229">
        <f>ASTRA!M111+'VIOLE. DOM'!M111</f>
        <v>0</v>
      </c>
    </row>
    <row r="112" spans="1:13" s="4" customFormat="1" ht="26.25" hidden="1" thickBot="1" x14ac:dyDescent="0.25">
      <c r="A112" s="47">
        <v>102</v>
      </c>
      <c r="B112" s="126" t="s">
        <v>171</v>
      </c>
      <c r="C112" s="102" t="s">
        <v>172</v>
      </c>
      <c r="D112" s="230"/>
      <c r="E112" s="227">
        <f>ASTRA!E112+'VIOLE. DOM'!E112</f>
        <v>0</v>
      </c>
      <c r="F112" s="221">
        <f>ASTRA!F112+'VIOLE. DOM'!F112</f>
        <v>0</v>
      </c>
      <c r="G112" s="187">
        <f>ASTRA!G112+'VIOLE. DOM'!G112</f>
        <v>0</v>
      </c>
      <c r="H112" s="187">
        <f>ASTRA!H112+'VIOLE. DOM'!H112</f>
        <v>0</v>
      </c>
      <c r="I112" s="222">
        <f>ASTRA!I112+'VIOLE. DOM'!I112</f>
        <v>0</v>
      </c>
      <c r="J112" s="228">
        <f>ASTRA!J112+'VIOLE. DOM'!J112</f>
        <v>0</v>
      </c>
      <c r="K112" s="187">
        <f>ASTRA!K112+'VIOLE. DOM'!K112</f>
        <v>0</v>
      </c>
      <c r="L112" s="222">
        <f>ASTRA!L112+'VIOLE. DOM'!L112</f>
        <v>0</v>
      </c>
      <c r="M112" s="229">
        <f>ASTRA!M112+'VIOLE. DOM'!M112</f>
        <v>0</v>
      </c>
    </row>
    <row r="113" spans="1:13" s="4" customFormat="1" ht="13.5" hidden="1" thickBot="1" x14ac:dyDescent="0.25">
      <c r="A113" s="47">
        <v>103</v>
      </c>
      <c r="B113" s="4" t="s">
        <v>127</v>
      </c>
      <c r="C113" s="56" t="s">
        <v>173</v>
      </c>
      <c r="D113" s="231"/>
      <c r="E113" s="227">
        <f>ASTRA!E113+'VIOLE. DOM'!E113</f>
        <v>0</v>
      </c>
      <c r="F113" s="221">
        <f>ASTRA!F113+'VIOLE. DOM'!F113</f>
        <v>0</v>
      </c>
      <c r="G113" s="187">
        <f>ASTRA!G113+'VIOLE. DOM'!G113</f>
        <v>0</v>
      </c>
      <c r="H113" s="187">
        <f>ASTRA!H113+'VIOLE. DOM'!H113</f>
        <v>0</v>
      </c>
      <c r="I113" s="222">
        <f>ASTRA!I113+'VIOLE. DOM'!I113</f>
        <v>0</v>
      </c>
      <c r="J113" s="228">
        <f>ASTRA!J113+'VIOLE. DOM'!J113</f>
        <v>0</v>
      </c>
      <c r="K113" s="187">
        <f>ASTRA!K113+'VIOLE. DOM'!K113</f>
        <v>0</v>
      </c>
      <c r="L113" s="222">
        <f>ASTRA!L113+'VIOLE. DOM'!L113</f>
        <v>0</v>
      </c>
      <c r="M113" s="229">
        <f>ASTRA!M113+'VIOLE. DOM'!M113</f>
        <v>0</v>
      </c>
    </row>
    <row r="114" spans="1:13" s="4" customFormat="1" ht="13.5" hidden="1" thickBot="1" x14ac:dyDescent="0.25">
      <c r="A114" s="47">
        <v>104</v>
      </c>
      <c r="B114" s="73" t="s">
        <v>174</v>
      </c>
      <c r="C114" s="56"/>
      <c r="D114" s="231"/>
      <c r="E114" s="227"/>
      <c r="F114" s="221"/>
      <c r="G114" s="187"/>
      <c r="H114" s="187"/>
      <c r="I114" s="222"/>
      <c r="J114" s="228"/>
      <c r="K114" s="187"/>
      <c r="L114" s="222"/>
      <c r="M114" s="229"/>
    </row>
    <row r="115" spans="1:13" s="4" customFormat="1" ht="13.5" hidden="1" thickBot="1" x14ac:dyDescent="0.25">
      <c r="A115" s="47">
        <v>105</v>
      </c>
      <c r="B115" s="73" t="s">
        <v>175</v>
      </c>
      <c r="C115" s="56"/>
      <c r="D115" s="231"/>
      <c r="E115" s="227"/>
      <c r="F115" s="221"/>
      <c r="G115" s="187"/>
      <c r="H115" s="187"/>
      <c r="I115" s="222"/>
      <c r="J115" s="228"/>
      <c r="K115" s="187"/>
      <c r="L115" s="222"/>
      <c r="M115" s="229"/>
    </row>
    <row r="116" spans="1:13" s="4" customFormat="1" ht="13.5" hidden="1" thickBot="1" x14ac:dyDescent="0.25">
      <c r="A116" s="47">
        <v>106</v>
      </c>
      <c r="B116" s="73" t="s">
        <v>176</v>
      </c>
      <c r="C116" s="114" t="s">
        <v>177</v>
      </c>
      <c r="D116" s="231"/>
      <c r="E116" s="227">
        <f>ASTRA!E116+'VIOLE. DOM'!E116</f>
        <v>0</v>
      </c>
      <c r="F116" s="221">
        <f>ASTRA!F116+'VIOLE. DOM'!F116</f>
        <v>0</v>
      </c>
      <c r="G116" s="187">
        <f>ASTRA!G116+'VIOLE. DOM'!G116</f>
        <v>0</v>
      </c>
      <c r="H116" s="187">
        <f>ASTRA!H116+'VIOLE. DOM'!H116</f>
        <v>0</v>
      </c>
      <c r="I116" s="222">
        <f>ASTRA!I116+'VIOLE. DOM'!I116</f>
        <v>0</v>
      </c>
      <c r="J116" s="228">
        <f>ASTRA!J116+'VIOLE. DOM'!J116</f>
        <v>0</v>
      </c>
      <c r="K116" s="187">
        <f>ASTRA!K116+'VIOLE. DOM'!K116</f>
        <v>0</v>
      </c>
      <c r="L116" s="222">
        <f>ASTRA!L116+'VIOLE. DOM'!L116</f>
        <v>0</v>
      </c>
      <c r="M116" s="229">
        <f>ASTRA!M116+'VIOLE. DOM'!M116</f>
        <v>0</v>
      </c>
    </row>
    <row r="117" spans="1:13" s="4" customFormat="1" ht="26.25" hidden="1" thickBot="1" x14ac:dyDescent="0.25">
      <c r="A117" s="47">
        <v>107</v>
      </c>
      <c r="B117" s="127" t="s">
        <v>178</v>
      </c>
      <c r="C117" s="232" t="s">
        <v>179</v>
      </c>
      <c r="D117" s="233"/>
      <c r="E117" s="227">
        <f>ASTRA!E117+'VIOLE. DOM'!E117</f>
        <v>0</v>
      </c>
      <c r="F117" s="221">
        <f>ASTRA!F117+'VIOLE. DOM'!F117</f>
        <v>0</v>
      </c>
      <c r="G117" s="187">
        <f>ASTRA!G117+'VIOLE. DOM'!G117</f>
        <v>0</v>
      </c>
      <c r="H117" s="187">
        <f>ASTRA!H117+'VIOLE. DOM'!H117</f>
        <v>0</v>
      </c>
      <c r="I117" s="222">
        <f>ASTRA!I117+'VIOLE. DOM'!I117</f>
        <v>0</v>
      </c>
      <c r="J117" s="228">
        <f>ASTRA!J117+'VIOLE. DOM'!J117</f>
        <v>0</v>
      </c>
      <c r="K117" s="187">
        <f>ASTRA!K117+'VIOLE. DOM'!K117</f>
        <v>0</v>
      </c>
      <c r="L117" s="222">
        <f>ASTRA!L117+'VIOLE. DOM'!L117</f>
        <v>0</v>
      </c>
      <c r="M117" s="229">
        <f>ASTRA!M117+'VIOLE. DOM'!M117</f>
        <v>0</v>
      </c>
    </row>
    <row r="118" spans="1:13" s="135" customFormat="1" ht="13.5" hidden="1" thickBot="1" x14ac:dyDescent="0.25">
      <c r="A118" s="47">
        <v>108</v>
      </c>
      <c r="B118" s="24" t="s">
        <v>180</v>
      </c>
      <c r="C118" s="134"/>
      <c r="D118" s="234"/>
      <c r="E118" s="227">
        <f>ASTRA!E118+'VIOLE. DOM'!E118</f>
        <v>0</v>
      </c>
      <c r="F118" s="221">
        <f>ASTRA!F118+'VIOLE. DOM'!F118</f>
        <v>0</v>
      </c>
      <c r="G118" s="187">
        <f>ASTRA!G118+'VIOLE. DOM'!G118</f>
        <v>0</v>
      </c>
      <c r="H118" s="187">
        <f>ASTRA!H118+'VIOLE. DOM'!H118</f>
        <v>0</v>
      </c>
      <c r="I118" s="222">
        <f>ASTRA!I118+'VIOLE. DOM'!I118</f>
        <v>0</v>
      </c>
      <c r="J118" s="228">
        <f>ASTRA!J118+'VIOLE. DOM'!J118</f>
        <v>0</v>
      </c>
      <c r="K118" s="187">
        <f>ASTRA!K118+'VIOLE. DOM'!K118</f>
        <v>0</v>
      </c>
      <c r="L118" s="222">
        <f>ASTRA!L118+'VIOLE. DOM'!L118</f>
        <v>0</v>
      </c>
      <c r="M118" s="229">
        <f>ASTRA!M118+'VIOLE. DOM'!M118</f>
        <v>0</v>
      </c>
    </row>
    <row r="119" spans="1:13" s="4" customFormat="1" ht="26.25" hidden="1" thickBot="1" x14ac:dyDescent="0.25">
      <c r="A119" s="47">
        <v>109</v>
      </c>
      <c r="B119" s="126" t="s">
        <v>181</v>
      </c>
      <c r="C119" s="137" t="s">
        <v>182</v>
      </c>
      <c r="D119" s="235"/>
      <c r="E119" s="227">
        <f>ASTRA!E119+'VIOLE. DOM'!E119</f>
        <v>0</v>
      </c>
      <c r="F119" s="221">
        <f>ASTRA!F119+'VIOLE. DOM'!F119</f>
        <v>0</v>
      </c>
      <c r="G119" s="187">
        <f>ASTRA!G119+'VIOLE. DOM'!G119</f>
        <v>0</v>
      </c>
      <c r="H119" s="187">
        <f>ASTRA!H119+'VIOLE. DOM'!H119</f>
        <v>0</v>
      </c>
      <c r="I119" s="222">
        <f>ASTRA!I119+'VIOLE. DOM'!I119</f>
        <v>0</v>
      </c>
      <c r="J119" s="228">
        <f>ASTRA!J119+'VIOLE. DOM'!J119</f>
        <v>0</v>
      </c>
      <c r="K119" s="187">
        <f>ASTRA!K119+'VIOLE. DOM'!K119</f>
        <v>0</v>
      </c>
      <c r="L119" s="222">
        <f>ASTRA!L119+'VIOLE. DOM'!L119</f>
        <v>0</v>
      </c>
      <c r="M119" s="229">
        <f>ASTRA!M119+'VIOLE. DOM'!M119</f>
        <v>0</v>
      </c>
    </row>
    <row r="120" spans="1:13" s="4" customFormat="1" ht="13.5" hidden="1" thickBot="1" x14ac:dyDescent="0.25">
      <c r="A120" s="47">
        <v>110</v>
      </c>
      <c r="B120" s="55" t="s">
        <v>183</v>
      </c>
      <c r="C120" s="114" t="s">
        <v>184</v>
      </c>
      <c r="D120" s="231"/>
      <c r="E120" s="227">
        <f>ASTRA!E120+'VIOLE. DOM'!E120</f>
        <v>0</v>
      </c>
      <c r="F120" s="221">
        <f>ASTRA!F120+'VIOLE. DOM'!F120</f>
        <v>0</v>
      </c>
      <c r="G120" s="187">
        <f>ASTRA!G120+'VIOLE. DOM'!G120</f>
        <v>0</v>
      </c>
      <c r="H120" s="187">
        <f>ASTRA!H120+'VIOLE. DOM'!H120</f>
        <v>0</v>
      </c>
      <c r="I120" s="222">
        <f>ASTRA!I120+'VIOLE. DOM'!I120</f>
        <v>0</v>
      </c>
      <c r="J120" s="228">
        <f>ASTRA!J120+'VIOLE. DOM'!J120</f>
        <v>0</v>
      </c>
      <c r="K120" s="187">
        <f>ASTRA!K120+'VIOLE. DOM'!K120</f>
        <v>0</v>
      </c>
      <c r="L120" s="222">
        <f>ASTRA!L120+'VIOLE. DOM'!L120</f>
        <v>0</v>
      </c>
      <c r="M120" s="229">
        <f>ASTRA!M120+'VIOLE. DOM'!M120</f>
        <v>0</v>
      </c>
    </row>
    <row r="121" spans="1:13" s="139" customFormat="1" ht="13.5" hidden="1" thickBot="1" x14ac:dyDescent="0.25">
      <c r="A121" s="47">
        <v>111</v>
      </c>
      <c r="B121" s="138" t="s">
        <v>185</v>
      </c>
      <c r="C121" s="117" t="s">
        <v>186</v>
      </c>
      <c r="D121" s="226"/>
      <c r="E121" s="227">
        <f>ASTRA!E121+'VIOLE. DOM'!E121</f>
        <v>0</v>
      </c>
      <c r="F121" s="221">
        <f>ASTRA!F121+'VIOLE. DOM'!F121</f>
        <v>0</v>
      </c>
      <c r="G121" s="187">
        <f>ASTRA!G121+'VIOLE. DOM'!G121</f>
        <v>0</v>
      </c>
      <c r="H121" s="187">
        <f>ASTRA!H121+'VIOLE. DOM'!H121</f>
        <v>0</v>
      </c>
      <c r="I121" s="222">
        <f>ASTRA!I121+'VIOLE. DOM'!I121</f>
        <v>0</v>
      </c>
      <c r="J121" s="228">
        <f>ASTRA!J121+'VIOLE. DOM'!J121</f>
        <v>0</v>
      </c>
      <c r="K121" s="187">
        <f>ASTRA!K121+'VIOLE. DOM'!K121</f>
        <v>0</v>
      </c>
      <c r="L121" s="222">
        <f>ASTRA!L121+'VIOLE. DOM'!L121</f>
        <v>0</v>
      </c>
      <c r="M121" s="229">
        <f>ASTRA!M121+'VIOLE. DOM'!M121</f>
        <v>0</v>
      </c>
    </row>
    <row r="122" spans="1:13" s="139" customFormat="1" ht="13.5" hidden="1" thickBot="1" x14ac:dyDescent="0.25">
      <c r="A122" s="47">
        <v>112</v>
      </c>
      <c r="B122" s="138" t="s">
        <v>187</v>
      </c>
      <c r="C122" s="56" t="s">
        <v>188</v>
      </c>
      <c r="D122" s="226"/>
      <c r="E122" s="227"/>
      <c r="F122" s="221"/>
      <c r="G122" s="187"/>
      <c r="H122" s="187"/>
      <c r="I122" s="222"/>
      <c r="J122" s="228"/>
      <c r="K122" s="187"/>
      <c r="L122" s="222"/>
      <c r="M122" s="229"/>
    </row>
    <row r="123" spans="1:13" s="139" customFormat="1" ht="13.5" hidden="1" thickBot="1" x14ac:dyDescent="0.25">
      <c r="A123" s="47">
        <v>113</v>
      </c>
      <c r="B123" s="138" t="s">
        <v>189</v>
      </c>
      <c r="C123" s="56" t="s">
        <v>190</v>
      </c>
      <c r="D123" s="226"/>
      <c r="E123" s="227"/>
      <c r="F123" s="221"/>
      <c r="G123" s="187"/>
      <c r="H123" s="187"/>
      <c r="I123" s="222"/>
      <c r="J123" s="228"/>
      <c r="K123" s="187"/>
      <c r="L123" s="222"/>
      <c r="M123" s="229"/>
    </row>
    <row r="124" spans="1:13" s="139" customFormat="1" ht="13.5" hidden="1" thickBot="1" x14ac:dyDescent="0.25">
      <c r="A124" s="47">
        <v>114</v>
      </c>
      <c r="B124" s="138" t="s">
        <v>191</v>
      </c>
      <c r="C124" s="41" t="s">
        <v>192</v>
      </c>
      <c r="D124" s="226"/>
      <c r="E124" s="227"/>
      <c r="F124" s="221"/>
      <c r="G124" s="187"/>
      <c r="H124" s="187"/>
      <c r="I124" s="222"/>
      <c r="J124" s="228"/>
      <c r="K124" s="187"/>
      <c r="L124" s="222"/>
      <c r="M124" s="229"/>
    </row>
    <row r="125" spans="1:13" s="139" customFormat="1" ht="13.5" hidden="1" thickBot="1" x14ac:dyDescent="0.25">
      <c r="A125" s="47">
        <v>115</v>
      </c>
      <c r="B125" s="138" t="s">
        <v>193</v>
      </c>
      <c r="C125" s="56" t="s">
        <v>194</v>
      </c>
      <c r="D125" s="226"/>
      <c r="E125" s="227"/>
      <c r="F125" s="221"/>
      <c r="G125" s="187"/>
      <c r="H125" s="187"/>
      <c r="I125" s="222"/>
      <c r="J125" s="228"/>
      <c r="K125" s="187"/>
      <c r="L125" s="222"/>
      <c r="M125" s="229"/>
    </row>
    <row r="126" spans="1:13" s="139" customFormat="1" ht="13.5" hidden="1" thickBot="1" x14ac:dyDescent="0.25">
      <c r="A126" s="47">
        <v>116</v>
      </c>
      <c r="B126" s="138" t="s">
        <v>195</v>
      </c>
      <c r="C126" s="41" t="s">
        <v>196</v>
      </c>
      <c r="D126" s="226"/>
      <c r="E126" s="227"/>
      <c r="F126" s="221"/>
      <c r="G126" s="187"/>
      <c r="H126" s="187"/>
      <c r="I126" s="222"/>
      <c r="J126" s="228"/>
      <c r="K126" s="187"/>
      <c r="L126" s="222"/>
      <c r="M126" s="229"/>
    </row>
    <row r="127" spans="1:13" s="139" customFormat="1" ht="13.5" hidden="1" thickBot="1" x14ac:dyDescent="0.25">
      <c r="A127" s="47">
        <v>117</v>
      </c>
      <c r="B127" s="138" t="s">
        <v>191</v>
      </c>
      <c r="C127" s="41" t="s">
        <v>197</v>
      </c>
      <c r="D127" s="226"/>
      <c r="E127" s="227"/>
      <c r="F127" s="221"/>
      <c r="G127" s="187"/>
      <c r="H127" s="187"/>
      <c r="I127" s="222"/>
      <c r="J127" s="228"/>
      <c r="K127" s="187"/>
      <c r="L127" s="222"/>
      <c r="M127" s="229"/>
    </row>
    <row r="128" spans="1:13" s="139" customFormat="1" ht="13.5" hidden="1" thickBot="1" x14ac:dyDescent="0.25">
      <c r="A128" s="47">
        <v>118</v>
      </c>
      <c r="B128" s="138" t="s">
        <v>198</v>
      </c>
      <c r="C128" s="114" t="s">
        <v>199</v>
      </c>
      <c r="D128" s="226"/>
      <c r="E128" s="227"/>
      <c r="F128" s="221"/>
      <c r="G128" s="187"/>
      <c r="H128" s="187"/>
      <c r="I128" s="222"/>
      <c r="J128" s="228"/>
      <c r="K128" s="187"/>
      <c r="L128" s="222"/>
      <c r="M128" s="229"/>
    </row>
    <row r="129" spans="1:15" s="139" customFormat="1" ht="13.5" hidden="1" thickBot="1" x14ac:dyDescent="0.25">
      <c r="A129" s="47">
        <v>119</v>
      </c>
      <c r="B129" s="138" t="s">
        <v>200</v>
      </c>
      <c r="C129" s="117" t="s">
        <v>201</v>
      </c>
      <c r="D129" s="226"/>
      <c r="E129" s="227"/>
      <c r="F129" s="221"/>
      <c r="G129" s="187"/>
      <c r="H129" s="187"/>
      <c r="I129" s="222"/>
      <c r="J129" s="228"/>
      <c r="K129" s="187"/>
      <c r="L129" s="222"/>
      <c r="M129" s="229"/>
    </row>
    <row r="130" spans="1:15" s="139" customFormat="1" ht="13.5" hidden="1" thickBot="1" x14ac:dyDescent="0.25">
      <c r="A130" s="47">
        <v>120</v>
      </c>
      <c r="B130" s="138" t="s">
        <v>202</v>
      </c>
      <c r="C130" s="117" t="s">
        <v>203</v>
      </c>
      <c r="D130" s="226"/>
      <c r="E130" s="227"/>
      <c r="F130" s="221"/>
      <c r="G130" s="187"/>
      <c r="H130" s="187"/>
      <c r="I130" s="222"/>
      <c r="J130" s="228"/>
      <c r="K130" s="187"/>
      <c r="L130" s="222"/>
      <c r="M130" s="229"/>
    </row>
    <row r="131" spans="1:15" s="139" customFormat="1" ht="13.5" hidden="1" thickBot="1" x14ac:dyDescent="0.25">
      <c r="A131" s="47">
        <v>121</v>
      </c>
      <c r="B131" s="138" t="s">
        <v>204</v>
      </c>
      <c r="C131" s="117" t="s">
        <v>205</v>
      </c>
      <c r="D131" s="226"/>
      <c r="E131" s="227"/>
      <c r="F131" s="221"/>
      <c r="G131" s="187"/>
      <c r="H131" s="187"/>
      <c r="I131" s="222"/>
      <c r="J131" s="228"/>
      <c r="K131" s="187"/>
      <c r="L131" s="222"/>
      <c r="M131" s="229"/>
    </row>
    <row r="132" spans="1:15" s="4" customFormat="1" ht="13.5" hidden="1" thickBot="1" x14ac:dyDescent="0.25">
      <c r="A132" s="47">
        <v>122</v>
      </c>
      <c r="B132" s="140" t="s">
        <v>206</v>
      </c>
      <c r="C132" s="114" t="s">
        <v>207</v>
      </c>
      <c r="D132" s="231"/>
      <c r="E132" s="227">
        <f>ASTRA!E132+'VIOLE. DOM'!E132</f>
        <v>0</v>
      </c>
      <c r="F132" s="221">
        <f>ASTRA!F132+'VIOLE. DOM'!F132</f>
        <v>0</v>
      </c>
      <c r="G132" s="187">
        <f>ASTRA!G132+'VIOLE. DOM'!G132</f>
        <v>0</v>
      </c>
      <c r="H132" s="187">
        <f>ASTRA!H132+'VIOLE. DOM'!H132</f>
        <v>0</v>
      </c>
      <c r="I132" s="222">
        <f>ASTRA!I132+'VIOLE. DOM'!I132</f>
        <v>0</v>
      </c>
      <c r="J132" s="228">
        <f>ASTRA!J132+'VIOLE. DOM'!J132</f>
        <v>0</v>
      </c>
      <c r="K132" s="187">
        <f>ASTRA!K132+'VIOLE. DOM'!K132</f>
        <v>0</v>
      </c>
      <c r="L132" s="222">
        <f>ASTRA!L132+'VIOLE. DOM'!L132</f>
        <v>0</v>
      </c>
      <c r="M132" s="229">
        <f>ASTRA!M132+'VIOLE. DOM'!M132</f>
        <v>0</v>
      </c>
    </row>
    <row r="133" spans="1:15" s="4" customFormat="1" ht="13.5" hidden="1" thickBot="1" x14ac:dyDescent="0.25">
      <c r="A133" s="47">
        <v>123</v>
      </c>
      <c r="B133" s="55" t="s">
        <v>208</v>
      </c>
      <c r="C133" s="141">
        <v>71</v>
      </c>
      <c r="D133" s="236"/>
      <c r="E133" s="227">
        <f>ASTRA!E133+'VIOLE. DOM'!E133</f>
        <v>0</v>
      </c>
      <c r="F133" s="221">
        <f>ASTRA!F133+'VIOLE. DOM'!F133</f>
        <v>0</v>
      </c>
      <c r="G133" s="187">
        <f>ASTRA!G133+'VIOLE. DOM'!G133</f>
        <v>0</v>
      </c>
      <c r="H133" s="187">
        <f>ASTRA!H133+'VIOLE. DOM'!H133</f>
        <v>0</v>
      </c>
      <c r="I133" s="222">
        <f>ASTRA!I133+'VIOLE. DOM'!I133</f>
        <v>0</v>
      </c>
      <c r="J133" s="228">
        <f>ASTRA!J133+'VIOLE. DOM'!J133</f>
        <v>0</v>
      </c>
      <c r="K133" s="187">
        <f>ASTRA!K133+'VIOLE. DOM'!K133</f>
        <v>0</v>
      </c>
      <c r="L133" s="222">
        <f>ASTRA!L133+'VIOLE. DOM'!L133</f>
        <v>0</v>
      </c>
      <c r="M133" s="229">
        <f>ASTRA!M133+'VIOLE. DOM'!M133</f>
        <v>0</v>
      </c>
    </row>
    <row r="134" spans="1:15" s="4" customFormat="1" ht="13.5" hidden="1" thickBot="1" x14ac:dyDescent="0.25">
      <c r="A134" s="47">
        <v>124</v>
      </c>
      <c r="B134" s="55" t="s">
        <v>209</v>
      </c>
      <c r="C134" s="141" t="s">
        <v>210</v>
      </c>
      <c r="D134" s="236"/>
      <c r="E134" s="227">
        <f>ASTRA!E134+'VIOLE. DOM'!E134</f>
        <v>0</v>
      </c>
      <c r="F134" s="221">
        <f>ASTRA!F134+'VIOLE. DOM'!F134</f>
        <v>0</v>
      </c>
      <c r="G134" s="187">
        <f>ASTRA!G134+'VIOLE. DOM'!G134</f>
        <v>0</v>
      </c>
      <c r="H134" s="187">
        <f>ASTRA!H134+'VIOLE. DOM'!H134</f>
        <v>0</v>
      </c>
      <c r="I134" s="222">
        <f>ASTRA!I134+'VIOLE. DOM'!I134</f>
        <v>0</v>
      </c>
      <c r="J134" s="228">
        <f>ASTRA!J134+'VIOLE. DOM'!J134</f>
        <v>0</v>
      </c>
      <c r="K134" s="187">
        <f>ASTRA!K134+'VIOLE. DOM'!K134</f>
        <v>0</v>
      </c>
      <c r="L134" s="222">
        <f>ASTRA!L134+'VIOLE. DOM'!L134</f>
        <v>0</v>
      </c>
      <c r="M134" s="229">
        <f>ASTRA!M134+'VIOLE. DOM'!M134</f>
        <v>0</v>
      </c>
    </row>
    <row r="135" spans="1:15" s="4" customFormat="1" ht="13.5" hidden="1" thickBot="1" x14ac:dyDescent="0.25">
      <c r="A135" s="47">
        <v>125</v>
      </c>
      <c r="B135" s="59" t="s">
        <v>211</v>
      </c>
      <c r="C135" s="143" t="s">
        <v>212</v>
      </c>
      <c r="D135" s="237"/>
      <c r="E135" s="227">
        <f>ASTRA!E135+'VIOLE. DOM'!E135</f>
        <v>0</v>
      </c>
      <c r="F135" s="221">
        <f>ASTRA!F135+'VIOLE. DOM'!F135</f>
        <v>0</v>
      </c>
      <c r="G135" s="187">
        <f>ASTRA!G135+'VIOLE. DOM'!G135</f>
        <v>0</v>
      </c>
      <c r="H135" s="187">
        <f>ASTRA!H135+'VIOLE. DOM'!H135</f>
        <v>0</v>
      </c>
      <c r="I135" s="222">
        <f>ASTRA!I135+'VIOLE. DOM'!I135</f>
        <v>0</v>
      </c>
      <c r="J135" s="228">
        <f>ASTRA!J135+'VIOLE. DOM'!J135</f>
        <v>0</v>
      </c>
      <c r="K135" s="187">
        <f>ASTRA!K135+'VIOLE. DOM'!K135</f>
        <v>0</v>
      </c>
      <c r="L135" s="222">
        <f>ASTRA!L135+'VIOLE. DOM'!L135</f>
        <v>0</v>
      </c>
      <c r="M135" s="229">
        <f>ASTRA!M135+'VIOLE. DOM'!M135</f>
        <v>0</v>
      </c>
    </row>
    <row r="136" spans="1:15" s="4" customFormat="1" ht="13.5" hidden="1" thickBot="1" x14ac:dyDescent="0.25">
      <c r="A136" s="47">
        <v>126</v>
      </c>
      <c r="B136" s="74" t="s">
        <v>213</v>
      </c>
      <c r="C136" s="143" t="s">
        <v>214</v>
      </c>
      <c r="D136" s="237"/>
      <c r="E136" s="227">
        <f>ASTRA!E136+'VIOLE. DOM'!E136</f>
        <v>0</v>
      </c>
      <c r="F136" s="221">
        <f>ASTRA!F136+'VIOLE. DOM'!F136</f>
        <v>0</v>
      </c>
      <c r="G136" s="187">
        <f>ASTRA!G136+'VIOLE. DOM'!G136</f>
        <v>0</v>
      </c>
      <c r="H136" s="187">
        <f>ASTRA!H136+'VIOLE. DOM'!H136</f>
        <v>0</v>
      </c>
      <c r="I136" s="222">
        <f>ASTRA!I136+'VIOLE. DOM'!I136</f>
        <v>0</v>
      </c>
      <c r="J136" s="228">
        <f>ASTRA!J136+'VIOLE. DOM'!J136</f>
        <v>0</v>
      </c>
      <c r="K136" s="187">
        <f>ASTRA!K136+'VIOLE. DOM'!K136</f>
        <v>0</v>
      </c>
      <c r="L136" s="222">
        <f>ASTRA!L136+'VIOLE. DOM'!L136</f>
        <v>0</v>
      </c>
      <c r="M136" s="229">
        <f>ASTRA!M136+'VIOLE. DOM'!M136</f>
        <v>0</v>
      </c>
    </row>
    <row r="137" spans="1:15" s="4" customFormat="1" ht="13.5" hidden="1" thickBot="1" x14ac:dyDescent="0.25">
      <c r="A137" s="47">
        <v>127</v>
      </c>
      <c r="B137" s="74" t="s">
        <v>215</v>
      </c>
      <c r="C137" s="143" t="s">
        <v>214</v>
      </c>
      <c r="D137" s="237"/>
      <c r="E137" s="227">
        <f>ASTRA!E137+'VIOLE. DOM'!E137</f>
        <v>0</v>
      </c>
      <c r="F137" s="221">
        <f>ASTRA!F137+'VIOLE. DOM'!F137</f>
        <v>0</v>
      </c>
      <c r="G137" s="187">
        <f>ASTRA!G137+'VIOLE. DOM'!G137</f>
        <v>0</v>
      </c>
      <c r="H137" s="187">
        <f>ASTRA!H137+'VIOLE. DOM'!H137</f>
        <v>0</v>
      </c>
      <c r="I137" s="222">
        <f>ASTRA!I137+'VIOLE. DOM'!I137</f>
        <v>0</v>
      </c>
      <c r="J137" s="228">
        <f>ASTRA!J137+'VIOLE. DOM'!J137</f>
        <v>0</v>
      </c>
      <c r="K137" s="187">
        <f>ASTRA!K137+'VIOLE. DOM'!K137</f>
        <v>0</v>
      </c>
      <c r="L137" s="222">
        <f>ASTRA!L137+'VIOLE. DOM'!L137</f>
        <v>0</v>
      </c>
      <c r="M137" s="229">
        <f>ASTRA!M137+'VIOLE. DOM'!M137</f>
        <v>0</v>
      </c>
    </row>
    <row r="138" spans="1:15" s="4" customFormat="1" ht="13.5" hidden="1" thickBot="1" x14ac:dyDescent="0.25">
      <c r="A138" s="47">
        <v>128</v>
      </c>
      <c r="B138" s="40" t="s">
        <v>216</v>
      </c>
      <c r="C138" s="143" t="s">
        <v>217</v>
      </c>
      <c r="D138" s="237"/>
      <c r="E138" s="238">
        <f>ASTRA!E138+'VIOLE. DOM'!E138</f>
        <v>0</v>
      </c>
      <c r="F138" s="239">
        <f>ASTRA!F138+'VIOLE. DOM'!F138</f>
        <v>0</v>
      </c>
      <c r="G138" s="225">
        <f>ASTRA!G138+'VIOLE. DOM'!G138</f>
        <v>0</v>
      </c>
      <c r="H138" s="225">
        <f>ASTRA!H138+'VIOLE. DOM'!H138</f>
        <v>0</v>
      </c>
      <c r="I138" s="225">
        <f>ASTRA!I138+'VIOLE. DOM'!I138</f>
        <v>0</v>
      </c>
      <c r="J138" s="240">
        <f>ASTRA!J138+'VIOLE. DOM'!J138</f>
        <v>0</v>
      </c>
      <c r="K138" s="225">
        <f>ASTRA!K138+'VIOLE. DOM'!K138</f>
        <v>0</v>
      </c>
      <c r="L138" s="225">
        <f>ASTRA!L138+'VIOLE. DOM'!L138</f>
        <v>0</v>
      </c>
      <c r="M138" s="229">
        <f>ASTRA!M138+'VIOLE. DOM'!M138</f>
        <v>0</v>
      </c>
    </row>
    <row r="139" spans="1:15" s="4" customFormat="1" ht="13.5" hidden="1" thickBot="1" x14ac:dyDescent="0.25">
      <c r="A139" s="47">
        <v>129</v>
      </c>
      <c r="B139" s="144" t="s">
        <v>218</v>
      </c>
      <c r="C139" s="146" t="s">
        <v>219</v>
      </c>
      <c r="D139" s="241"/>
      <c r="E139" s="242">
        <f>ASTRA!E139+'VIOLE. DOM'!E139</f>
        <v>0</v>
      </c>
      <c r="F139" s="243">
        <f>ASTRA!F139+'VIOLE. DOM'!F139</f>
        <v>0</v>
      </c>
      <c r="G139" s="229">
        <f>ASTRA!G139+'VIOLE. DOM'!G139</f>
        <v>0</v>
      </c>
      <c r="H139" s="229">
        <f>ASTRA!H139+'VIOLE. DOM'!H139</f>
        <v>0</v>
      </c>
      <c r="I139" s="229">
        <f>ASTRA!I139+'VIOLE. DOM'!I139</f>
        <v>0</v>
      </c>
      <c r="J139" s="244">
        <f>ASTRA!J139+'VIOLE. DOM'!J139</f>
        <v>0</v>
      </c>
      <c r="K139" s="229">
        <f>ASTRA!K139+'VIOLE. DOM'!K139</f>
        <v>0</v>
      </c>
      <c r="L139" s="229">
        <f>ASTRA!L139+'VIOLE. DOM'!L139</f>
        <v>0</v>
      </c>
      <c r="M139" s="229">
        <f>ASTRA!M139+'VIOLE. DOM'!M139</f>
        <v>0</v>
      </c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132" t="s">
        <v>388</v>
      </c>
      <c r="K143" s="1132"/>
      <c r="L143" s="1132"/>
      <c r="M143" s="1132"/>
      <c r="N143" s="156"/>
      <c r="O143" s="6"/>
    </row>
    <row r="144" spans="1:15" ht="12.75" customHeight="1" x14ac:dyDescent="0.2">
      <c r="J144" s="152" t="s">
        <v>389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32"/>
      <c r="J146" s="1132"/>
      <c r="K146" s="1132"/>
      <c r="L146" s="1132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E9:E10"/>
    <mergeCell ref="F9:F10"/>
    <mergeCell ref="G9:J9"/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</mergeCells>
  <printOptions horizontalCentered="1"/>
  <pageMargins left="0.11805555555555555" right="0.11805555555555555" top="0.19652777777777777" bottom="0.11805555555555555" header="0.51180555555555551" footer="0.51180555555555551"/>
  <pageSetup scale="95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8980-5BAC-4FA0-A7EC-C086A9F1A68B}">
  <sheetPr>
    <pageSetUpPr fitToPage="1"/>
  </sheetPr>
  <dimension ref="A1:P169"/>
  <sheetViews>
    <sheetView workbookViewId="0">
      <selection activeCell="C142" sqref="C142:F143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42578125" style="1" customWidth="1"/>
    <col min="5" max="5" width="8.85546875" style="1" hidden="1" customWidth="1"/>
    <col min="6" max="6" width="9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B6" s="1119" t="s">
        <v>243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x14ac:dyDescent="0.2">
      <c r="B7" s="8"/>
      <c r="C7" s="245" t="s">
        <v>246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379</v>
      </c>
      <c r="E9" s="1125"/>
      <c r="F9" s="1127" t="s">
        <v>380</v>
      </c>
      <c r="G9" s="1129" t="s">
        <v>12</v>
      </c>
      <c r="H9" s="1129"/>
      <c r="I9" s="1129"/>
      <c r="J9" s="1129"/>
      <c r="K9" s="1130" t="s">
        <v>13</v>
      </c>
      <c r="L9" s="1130"/>
      <c r="M9" s="1131"/>
    </row>
    <row r="10" spans="1:14" s="4" customFormat="1" ht="48" customHeight="1" thickBot="1" x14ac:dyDescent="0.25">
      <c r="A10" s="1135"/>
      <c r="B10" s="1137"/>
      <c r="C10" s="1124"/>
      <c r="D10" s="1126"/>
      <c r="E10" s="1126"/>
      <c r="F10" s="1128"/>
      <c r="G10" s="967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19">
        <f>D12</f>
        <v>0</v>
      </c>
      <c r="E11" s="19">
        <f>E12</f>
        <v>0</v>
      </c>
      <c r="F11" s="375">
        <f>F12+F118</f>
        <v>551</v>
      </c>
      <c r="G11" s="375">
        <f>G12+G118</f>
        <v>163</v>
      </c>
      <c r="H11" s="375">
        <f>H12+H118</f>
        <v>145</v>
      </c>
      <c r="I11" s="375">
        <f>I12+I118</f>
        <v>128</v>
      </c>
      <c r="J11" s="375">
        <f>J12+J118</f>
        <v>115</v>
      </c>
      <c r="K11" s="21">
        <f t="shared" ref="K11:M12" si="0">K12</f>
        <v>556.53599999999994</v>
      </c>
      <c r="L11" s="22">
        <f t="shared" si="0"/>
        <v>558.04</v>
      </c>
      <c r="M11" s="774">
        <f t="shared" si="0"/>
        <v>559.79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376">
        <f>F13</f>
        <v>551</v>
      </c>
      <c r="G12" s="376">
        <f>G13</f>
        <v>163</v>
      </c>
      <c r="H12" s="376">
        <f>H13</f>
        <v>145</v>
      </c>
      <c r="I12" s="376">
        <f>I13</f>
        <v>128</v>
      </c>
      <c r="J12" s="313">
        <f>J13</f>
        <v>115</v>
      </c>
      <c r="K12" s="28">
        <f t="shared" si="0"/>
        <v>556.53599999999994</v>
      </c>
      <c r="L12" s="29">
        <f t="shared" si="0"/>
        <v>558.04</v>
      </c>
      <c r="M12" s="776">
        <f t="shared" si="0"/>
        <v>559.79</v>
      </c>
    </row>
    <row r="13" spans="1:14" s="4" customFormat="1" x14ac:dyDescent="0.2">
      <c r="A13" s="689">
        <v>3</v>
      </c>
      <c r="B13" s="157" t="s">
        <v>21</v>
      </c>
      <c r="C13" s="75" t="s">
        <v>22</v>
      </c>
      <c r="D13" s="158">
        <f>D14+D34</f>
        <v>0</v>
      </c>
      <c r="E13" s="158">
        <f>E14+E34</f>
        <v>0</v>
      </c>
      <c r="F13" s="364">
        <f>F14+F34+F92+F112</f>
        <v>551</v>
      </c>
      <c r="G13" s="364">
        <f>G14+G34+G92+G112</f>
        <v>163</v>
      </c>
      <c r="H13" s="364">
        <f>H14+H34+H92+H112</f>
        <v>145</v>
      </c>
      <c r="I13" s="364">
        <f>I14+I34+I92+I112</f>
        <v>128</v>
      </c>
      <c r="J13" s="364">
        <f>J14+J34+J92+J112</f>
        <v>115</v>
      </c>
      <c r="K13" s="57">
        <f>K14+K34</f>
        <v>556.53599999999994</v>
      </c>
      <c r="L13" s="57">
        <f>L14+L34</f>
        <v>558.04</v>
      </c>
      <c r="M13" s="777">
        <f>M14+M34</f>
        <v>559.79</v>
      </c>
    </row>
    <row r="14" spans="1:14" s="4" customFormat="1" x14ac:dyDescent="0.2">
      <c r="A14" s="689">
        <v>4</v>
      </c>
      <c r="B14" s="160" t="s">
        <v>23</v>
      </c>
      <c r="C14" s="161" t="s">
        <v>24</v>
      </c>
      <c r="D14" s="162">
        <f>D15+D26+D23</f>
        <v>0</v>
      </c>
      <c r="E14" s="162">
        <f>E15+E26+E23</f>
        <v>0</v>
      </c>
      <c r="F14" s="812">
        <f>F15+F26+F23</f>
        <v>376</v>
      </c>
      <c r="G14" s="364">
        <f>G15+G24+G26</f>
        <v>93</v>
      </c>
      <c r="H14" s="364">
        <f>H15+H24+H26</f>
        <v>97</v>
      </c>
      <c r="I14" s="364">
        <f>I15+I24+I26</f>
        <v>92</v>
      </c>
      <c r="J14" s="364">
        <f>J15+J24+J26</f>
        <v>94</v>
      </c>
      <c r="K14" s="57">
        <f>F14*101.1%</f>
        <v>380.13599999999997</v>
      </c>
      <c r="L14" s="43">
        <f>F14*101.5%</f>
        <v>381.64</v>
      </c>
      <c r="M14" s="771">
        <f>F14*101.5%</f>
        <v>381.64</v>
      </c>
    </row>
    <row r="15" spans="1:14" s="4" customFormat="1" x14ac:dyDescent="0.2">
      <c r="A15" s="689">
        <v>5</v>
      </c>
      <c r="B15" s="55" t="s">
        <v>25</v>
      </c>
      <c r="C15" s="161" t="s">
        <v>26</v>
      </c>
      <c r="D15" s="162">
        <f>D16+D17+D21</f>
        <v>0</v>
      </c>
      <c r="E15" s="162">
        <f>E16+E17+E21</f>
        <v>0</v>
      </c>
      <c r="F15" s="364">
        <f>F16+F17+F18+F19+F20+F21</f>
        <v>364</v>
      </c>
      <c r="G15" s="364">
        <f>G16+G17+G18+G19+G20+G21</f>
        <v>91</v>
      </c>
      <c r="H15" s="364">
        <f>H16+H17+H18+H19+H20+H21</f>
        <v>91</v>
      </c>
      <c r="I15" s="364">
        <f>I16+I17+I18+I19+I20+I21</f>
        <v>90</v>
      </c>
      <c r="J15" s="364">
        <f>J16+J17+J18+J19+J20+J21</f>
        <v>92</v>
      </c>
      <c r="K15" s="57"/>
      <c r="L15" s="43"/>
      <c r="M15" s="771"/>
    </row>
    <row r="16" spans="1:14" s="4" customFormat="1" x14ac:dyDescent="0.2">
      <c r="A16" s="689">
        <v>6</v>
      </c>
      <c r="B16" s="40" t="s">
        <v>27</v>
      </c>
      <c r="C16" s="41" t="s">
        <v>28</v>
      </c>
      <c r="D16" s="164">
        <v>0</v>
      </c>
      <c r="E16" s="164">
        <v>0</v>
      </c>
      <c r="F16" s="365">
        <f t="shared" ref="F16:F21" si="1">G16+H16+I16+J16</f>
        <v>317</v>
      </c>
      <c r="G16" s="365">
        <v>79</v>
      </c>
      <c r="H16" s="365">
        <v>79</v>
      </c>
      <c r="I16" s="365">
        <v>79</v>
      </c>
      <c r="J16" s="365">
        <v>80</v>
      </c>
      <c r="K16" s="45"/>
      <c r="L16" s="44"/>
      <c r="M16" s="711"/>
    </row>
    <row r="17" spans="1:16" s="4" customFormat="1" x14ac:dyDescent="0.2">
      <c r="A17" s="689">
        <v>7</v>
      </c>
      <c r="B17" s="40" t="s">
        <v>29</v>
      </c>
      <c r="C17" s="41" t="s">
        <v>30</v>
      </c>
      <c r="D17" s="164">
        <v>0</v>
      </c>
      <c r="E17" s="164">
        <v>0</v>
      </c>
      <c r="F17" s="365">
        <f t="shared" si="1"/>
        <v>28</v>
      </c>
      <c r="G17" s="365">
        <v>7</v>
      </c>
      <c r="H17" s="365">
        <v>7</v>
      </c>
      <c r="I17" s="365">
        <v>7</v>
      </c>
      <c r="J17" s="365">
        <v>7</v>
      </c>
      <c r="K17" s="45"/>
      <c r="L17" s="44"/>
      <c r="M17" s="711"/>
      <c r="P17" s="48"/>
    </row>
    <row r="18" spans="1:16" s="4" customFormat="1" hidden="1" x14ac:dyDescent="0.2">
      <c r="A18" s="689">
        <v>8</v>
      </c>
      <c r="B18" s="40" t="s">
        <v>31</v>
      </c>
      <c r="C18" s="41" t="s">
        <v>32</v>
      </c>
      <c r="D18" s="164"/>
      <c r="E18" s="164"/>
      <c r="F18" s="365">
        <f t="shared" si="1"/>
        <v>0</v>
      </c>
      <c r="G18" s="365"/>
      <c r="H18" s="365"/>
      <c r="I18" s="365">
        <v>0</v>
      </c>
      <c r="J18" s="365"/>
      <c r="K18" s="45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78" t="s">
        <v>34</v>
      </c>
      <c r="D19" s="779"/>
      <c r="E19" s="779"/>
      <c r="F19" s="365">
        <f t="shared" si="1"/>
        <v>0</v>
      </c>
      <c r="G19" s="365"/>
      <c r="H19" s="365"/>
      <c r="I19" s="365"/>
      <c r="J19" s="365"/>
      <c r="K19" s="45"/>
      <c r="L19" s="44"/>
      <c r="M19" s="711"/>
      <c r="P19" s="48"/>
    </row>
    <row r="20" spans="1:16" s="4" customFormat="1" hidden="1" x14ac:dyDescent="0.2">
      <c r="A20" s="689">
        <v>10</v>
      </c>
      <c r="B20" s="40" t="s">
        <v>35</v>
      </c>
      <c r="C20" s="41" t="s">
        <v>36</v>
      </c>
      <c r="D20" s="164"/>
      <c r="E20" s="164"/>
      <c r="F20" s="365">
        <f t="shared" si="1"/>
        <v>0</v>
      </c>
      <c r="G20" s="365"/>
      <c r="H20" s="365"/>
      <c r="I20" s="365"/>
      <c r="J20" s="365"/>
      <c r="K20" s="45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164">
        <v>0</v>
      </c>
      <c r="E21" s="164">
        <v>0</v>
      </c>
      <c r="F21" s="365">
        <f t="shared" si="1"/>
        <v>19</v>
      </c>
      <c r="G21" s="365">
        <v>5</v>
      </c>
      <c r="H21" s="365">
        <v>5</v>
      </c>
      <c r="I21" s="365">
        <v>4</v>
      </c>
      <c r="J21" s="365">
        <v>5</v>
      </c>
      <c r="K21" s="45"/>
      <c r="L21" s="44"/>
      <c r="M21" s="711"/>
      <c r="P21" s="48"/>
    </row>
    <row r="22" spans="1:16" s="4" customFormat="1" hidden="1" x14ac:dyDescent="0.2">
      <c r="A22" s="689">
        <v>12</v>
      </c>
      <c r="B22" s="40" t="s">
        <v>39</v>
      </c>
      <c r="C22" s="41" t="s">
        <v>40</v>
      </c>
      <c r="D22" s="164"/>
      <c r="E22" s="164"/>
      <c r="F22" s="365"/>
      <c r="G22" s="365"/>
      <c r="H22" s="365"/>
      <c r="I22" s="365"/>
      <c r="J22" s="365"/>
      <c r="K22" s="45"/>
      <c r="L22" s="44"/>
      <c r="M22" s="711"/>
      <c r="P22" s="48"/>
    </row>
    <row r="23" spans="1:16" s="4" customFormat="1" x14ac:dyDescent="0.2">
      <c r="A23" s="689">
        <v>13</v>
      </c>
      <c r="B23" s="140" t="s">
        <v>41</v>
      </c>
      <c r="C23" s="52" t="s">
        <v>42</v>
      </c>
      <c r="D23" s="158">
        <f t="shared" ref="D23:J23" si="2">D24</f>
        <v>0</v>
      </c>
      <c r="E23" s="158">
        <f t="shared" si="2"/>
        <v>0</v>
      </c>
      <c r="F23" s="364">
        <f t="shared" si="2"/>
        <v>4</v>
      </c>
      <c r="G23" s="365">
        <f t="shared" si="2"/>
        <v>0</v>
      </c>
      <c r="H23" s="365">
        <f t="shared" si="2"/>
        <v>4</v>
      </c>
      <c r="I23" s="365">
        <f t="shared" si="2"/>
        <v>0</v>
      </c>
      <c r="J23" s="365">
        <f t="shared" si="2"/>
        <v>0</v>
      </c>
      <c r="K23" s="45"/>
      <c r="L23" s="44"/>
      <c r="M23" s="711"/>
      <c r="P23" s="48"/>
    </row>
    <row r="24" spans="1:16" s="4" customFormat="1" x14ac:dyDescent="0.2">
      <c r="A24" s="689">
        <v>14</v>
      </c>
      <c r="B24" s="40" t="s">
        <v>43</v>
      </c>
      <c r="C24" s="54" t="s">
        <v>44</v>
      </c>
      <c r="D24" s="158">
        <v>0</v>
      </c>
      <c r="E24" s="164">
        <v>0</v>
      </c>
      <c r="F24" s="365">
        <f>G24+H24+I24+J24</f>
        <v>4</v>
      </c>
      <c r="G24" s="365">
        <v>0</v>
      </c>
      <c r="H24" s="365">
        <v>4</v>
      </c>
      <c r="I24" s="365">
        <f>I25</f>
        <v>0</v>
      </c>
      <c r="J24" s="365">
        <f>J25</f>
        <v>0</v>
      </c>
      <c r="K24" s="45"/>
      <c r="L24" s="44"/>
      <c r="M24" s="711"/>
      <c r="P24" s="48"/>
    </row>
    <row r="25" spans="1:16" s="4" customFormat="1" hidden="1" x14ac:dyDescent="0.2">
      <c r="A25" s="689">
        <v>15</v>
      </c>
      <c r="B25" s="320" t="s">
        <v>230</v>
      </c>
      <c r="C25" s="54" t="s">
        <v>231</v>
      </c>
      <c r="D25" s="164">
        <v>0</v>
      </c>
      <c r="E25" s="164">
        <v>0</v>
      </c>
      <c r="F25" s="365">
        <f>G25+H25+I25+J25</f>
        <v>0</v>
      </c>
      <c r="G25" s="365">
        <v>0</v>
      </c>
      <c r="H25" s="365">
        <f>5-5</f>
        <v>0</v>
      </c>
      <c r="I25" s="365">
        <v>0</v>
      </c>
      <c r="J25" s="365">
        <v>0</v>
      </c>
      <c r="K25" s="45"/>
      <c r="L25" s="44"/>
      <c r="M25" s="711"/>
      <c r="P25" s="48"/>
    </row>
    <row r="26" spans="1:16" s="4" customFormat="1" x14ac:dyDescent="0.2">
      <c r="A26" s="689">
        <v>16</v>
      </c>
      <c r="B26" s="55" t="s">
        <v>45</v>
      </c>
      <c r="C26" s="56" t="s">
        <v>46</v>
      </c>
      <c r="D26" s="158">
        <f>D32</f>
        <v>0</v>
      </c>
      <c r="E26" s="158">
        <f>E32</f>
        <v>0</v>
      </c>
      <c r="F26" s="364">
        <f>F27+F28+F29+F30+F31+F32+F33</f>
        <v>8</v>
      </c>
      <c r="G26" s="364">
        <f>G27+G28+G29+G30+G31+G32+G33</f>
        <v>2</v>
      </c>
      <c r="H26" s="364">
        <f>H27+H28+H29+H30+H31+H32+H33</f>
        <v>2</v>
      </c>
      <c r="I26" s="364">
        <f>I27+I28+I29+I30+I31+I32+I33</f>
        <v>2</v>
      </c>
      <c r="J26" s="364">
        <f>J27+J28+J29+J30+J31+J32+J33</f>
        <v>2</v>
      </c>
      <c r="K26" s="57"/>
      <c r="L26" s="43"/>
      <c r="M26" s="771"/>
    </row>
    <row r="27" spans="1:16" s="4" customFormat="1" hidden="1" x14ac:dyDescent="0.2">
      <c r="A27" s="689">
        <v>17</v>
      </c>
      <c r="B27" s="59" t="s">
        <v>47</v>
      </c>
      <c r="C27" s="41" t="s">
        <v>48</v>
      </c>
      <c r="D27" s="164"/>
      <c r="E27" s="164"/>
      <c r="F27" s="365">
        <f t="shared" ref="F27:F32" si="3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44"/>
      <c r="M27" s="711"/>
    </row>
    <row r="28" spans="1:16" s="4" customFormat="1" hidden="1" x14ac:dyDescent="0.2">
      <c r="A28" s="689">
        <v>18</v>
      </c>
      <c r="B28" s="59" t="s">
        <v>49</v>
      </c>
      <c r="C28" s="41" t="s">
        <v>50</v>
      </c>
      <c r="D28" s="164"/>
      <c r="E28" s="164"/>
      <c r="F28" s="365">
        <f t="shared" si="3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44"/>
      <c r="M28" s="711"/>
    </row>
    <row r="29" spans="1:16" s="4" customFormat="1" hidden="1" x14ac:dyDescent="0.2">
      <c r="A29" s="689">
        <v>19</v>
      </c>
      <c r="B29" s="59" t="s">
        <v>51</v>
      </c>
      <c r="C29" s="41" t="s">
        <v>52</v>
      </c>
      <c r="D29" s="164"/>
      <c r="E29" s="164"/>
      <c r="F29" s="365">
        <f t="shared" si="3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44"/>
      <c r="M29" s="711"/>
    </row>
    <row r="30" spans="1:16" s="4" customFormat="1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3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44"/>
      <c r="M30" s="711"/>
    </row>
    <row r="31" spans="1:16" s="4" customFormat="1" hidden="1" x14ac:dyDescent="0.2">
      <c r="A31" s="689">
        <v>21</v>
      </c>
      <c r="B31" s="59" t="s">
        <v>55</v>
      </c>
      <c r="C31" s="41" t="s">
        <v>56</v>
      </c>
      <c r="D31" s="164"/>
      <c r="E31" s="164"/>
      <c r="F31" s="365">
        <f t="shared" si="3"/>
        <v>0</v>
      </c>
      <c r="G31" s="365"/>
      <c r="H31" s="365"/>
      <c r="I31" s="365"/>
      <c r="J31" s="365"/>
      <c r="K31" s="45"/>
      <c r="L31" s="44"/>
      <c r="M31" s="711"/>
    </row>
    <row r="32" spans="1:16" s="4" customFormat="1" x14ac:dyDescent="0.2">
      <c r="A32" s="689">
        <v>22</v>
      </c>
      <c r="B32" s="59" t="s">
        <v>57</v>
      </c>
      <c r="C32" s="41" t="s">
        <v>58</v>
      </c>
      <c r="D32" s="164">
        <v>0</v>
      </c>
      <c r="E32" s="164">
        <v>0</v>
      </c>
      <c r="F32" s="365">
        <f t="shared" si="3"/>
        <v>8</v>
      </c>
      <c r="G32" s="365">
        <v>2</v>
      </c>
      <c r="H32" s="365">
        <v>2</v>
      </c>
      <c r="I32" s="365">
        <v>2</v>
      </c>
      <c r="J32" s="365">
        <v>2</v>
      </c>
      <c r="K32" s="45"/>
      <c r="L32" s="44"/>
      <c r="M32" s="711"/>
    </row>
    <row r="33" spans="1:13" s="4" customFormat="1" hidden="1" x14ac:dyDescent="0.2">
      <c r="A33" s="689">
        <v>23</v>
      </c>
      <c r="B33" s="59" t="s">
        <v>59</v>
      </c>
      <c r="C33" s="41" t="s">
        <v>60</v>
      </c>
      <c r="D33" s="164"/>
      <c r="E33" s="164"/>
      <c r="F33" s="365"/>
      <c r="G33" s="365"/>
      <c r="H33" s="365"/>
      <c r="I33" s="365"/>
      <c r="J33" s="365"/>
      <c r="K33" s="45"/>
      <c r="L33" s="44"/>
      <c r="M33" s="711"/>
    </row>
    <row r="34" spans="1:13" s="4" customFormat="1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E35+E58+E59+E64+E78+E72</f>
        <v>0</v>
      </c>
      <c r="F34" s="364">
        <f>F35+F57+F58+F59+F64+F69+F72+F73+F74+F75+F78</f>
        <v>175</v>
      </c>
      <c r="G34" s="364">
        <f>G35+G57+G58+G59+G64+G69+G72+G73+G74+G75+G78</f>
        <v>70</v>
      </c>
      <c r="H34" s="364">
        <f>H35+H57+H58+H59+H64+H69+H72+H73+H74+H75+H78</f>
        <v>48</v>
      </c>
      <c r="I34" s="364">
        <f>I35+I57+I58+I59+I64+I69+I72+I73+I74+I75+I78</f>
        <v>36</v>
      </c>
      <c r="J34" s="364">
        <f>J35+J57+J58+J59+J64+J69+J72+J73+J74+J75+J78</f>
        <v>21</v>
      </c>
      <c r="K34" s="57">
        <f>F34*100.8%</f>
        <v>176.4</v>
      </c>
      <c r="L34" s="43">
        <f>F34*100.8%</f>
        <v>176.4</v>
      </c>
      <c r="M34" s="771">
        <f>F34*101.8%</f>
        <v>178.15</v>
      </c>
    </row>
    <row r="35" spans="1:13" s="4" customFormat="1" x14ac:dyDescent="0.2">
      <c r="A35" s="689">
        <v>25</v>
      </c>
      <c r="B35" s="160" t="s">
        <v>62</v>
      </c>
      <c r="C35" s="56" t="s">
        <v>63</v>
      </c>
      <c r="D35" s="158">
        <f>D36+D40+D43+D44+D47+D50+D53</f>
        <v>0</v>
      </c>
      <c r="E35" s="158">
        <f>E36+E40+E43+E44+E47+E50+E53</f>
        <v>0</v>
      </c>
      <c r="F35" s="364">
        <f>F36+F40+F43+F44+F45+F46+F47+F50+F53</f>
        <v>46</v>
      </c>
      <c r="G35" s="364">
        <f>G36+G40+G43+G44+G45+G46+G47+G50+G53</f>
        <v>25</v>
      </c>
      <c r="H35" s="364">
        <f>H36+H40+H43+H44+H45+H46+H47+H50+H53</f>
        <v>13</v>
      </c>
      <c r="I35" s="364">
        <f>I36+I40+I43+I44+I45+I46+I47+I50+I53</f>
        <v>8</v>
      </c>
      <c r="J35" s="364">
        <f>J36+J40+J43+J44+J45+J46+J47+J50+J53</f>
        <v>0</v>
      </c>
      <c r="K35" s="57"/>
      <c r="L35" s="43"/>
      <c r="M35" s="771"/>
    </row>
    <row r="36" spans="1:13" s="4" customFormat="1" x14ac:dyDescent="0.2">
      <c r="A36" s="689">
        <v>26</v>
      </c>
      <c r="B36" s="55" t="s">
        <v>64</v>
      </c>
      <c r="C36" s="56" t="s">
        <v>65</v>
      </c>
      <c r="D36" s="158">
        <f>D37</f>
        <v>0</v>
      </c>
      <c r="E36" s="158">
        <f>E37</f>
        <v>0</v>
      </c>
      <c r="F36" s="365">
        <f>F37+F38+F39</f>
        <v>1</v>
      </c>
      <c r="G36" s="365">
        <f>G37+G38+G39</f>
        <v>1</v>
      </c>
      <c r="H36" s="365">
        <f>H37+H38+H39</f>
        <v>0</v>
      </c>
      <c r="I36" s="365">
        <f>I37+I38+I39</f>
        <v>0</v>
      </c>
      <c r="J36" s="365">
        <f>J37+J38+J39</f>
        <v>0</v>
      </c>
      <c r="K36" s="45"/>
      <c r="L36" s="44"/>
      <c r="M36" s="711"/>
    </row>
    <row r="37" spans="1:13" s="4" customFormat="1" x14ac:dyDescent="0.2">
      <c r="A37" s="689">
        <v>27</v>
      </c>
      <c r="B37" s="59" t="s">
        <v>64</v>
      </c>
      <c r="C37" s="41"/>
      <c r="D37" s="164">
        <v>0</v>
      </c>
      <c r="E37" s="164">
        <v>0</v>
      </c>
      <c r="F37" s="365">
        <f>G37+H37+I37+J37</f>
        <v>1</v>
      </c>
      <c r="G37" s="365">
        <v>1</v>
      </c>
      <c r="H37" s="365">
        <v>0</v>
      </c>
      <c r="I37" s="365">
        <v>0</v>
      </c>
      <c r="J37" s="365">
        <v>0</v>
      </c>
      <c r="K37" s="45"/>
      <c r="L37" s="44"/>
      <c r="M37" s="711"/>
    </row>
    <row r="38" spans="1:13" s="4" customFormat="1" hidden="1" x14ac:dyDescent="0.2">
      <c r="A38" s="689">
        <v>28</v>
      </c>
      <c r="B38" s="59" t="s">
        <v>66</v>
      </c>
      <c r="C38" s="41"/>
      <c r="D38" s="164"/>
      <c r="E38" s="164"/>
      <c r="F38" s="365"/>
      <c r="G38" s="365"/>
      <c r="H38" s="365"/>
      <c r="I38" s="365"/>
      <c r="J38" s="365"/>
      <c r="K38" s="45"/>
      <c r="L38" s="44"/>
      <c r="M38" s="711"/>
    </row>
    <row r="39" spans="1:13" s="4" customFormat="1" hidden="1" x14ac:dyDescent="0.2">
      <c r="A39" s="689">
        <v>29</v>
      </c>
      <c r="B39" s="59" t="s">
        <v>67</v>
      </c>
      <c r="C39" s="41"/>
      <c r="D39" s="164"/>
      <c r="E39" s="164"/>
      <c r="F39" s="365"/>
      <c r="G39" s="365"/>
      <c r="H39" s="365"/>
      <c r="I39" s="365"/>
      <c r="J39" s="365"/>
      <c r="K39" s="45"/>
      <c r="L39" s="44"/>
      <c r="M39" s="711"/>
    </row>
    <row r="40" spans="1:13" s="4" customFormat="1" x14ac:dyDescent="0.2">
      <c r="A40" s="689">
        <v>30</v>
      </c>
      <c r="B40" s="55" t="s">
        <v>68</v>
      </c>
      <c r="C40" s="56" t="s">
        <v>69</v>
      </c>
      <c r="D40" s="158">
        <f>D41</f>
        <v>0</v>
      </c>
      <c r="E40" s="158">
        <f>E41</f>
        <v>0</v>
      </c>
      <c r="F40" s="365">
        <f>F41+F42</f>
        <v>1</v>
      </c>
      <c r="G40" s="365">
        <f>G41+G42</f>
        <v>1</v>
      </c>
      <c r="H40" s="365">
        <f>H41+H42</f>
        <v>0</v>
      </c>
      <c r="I40" s="365">
        <f>I41+I42</f>
        <v>0</v>
      </c>
      <c r="J40" s="365">
        <f>J41+J42</f>
        <v>0</v>
      </c>
      <c r="K40" s="45"/>
      <c r="L40" s="44"/>
      <c r="M40" s="711"/>
    </row>
    <row r="41" spans="1:13" s="4" customFormat="1" x14ac:dyDescent="0.2">
      <c r="A41" s="689">
        <v>31</v>
      </c>
      <c r="B41" s="59" t="s">
        <v>70</v>
      </c>
      <c r="C41" s="56"/>
      <c r="D41" s="164">
        <v>0</v>
      </c>
      <c r="E41" s="164">
        <v>0</v>
      </c>
      <c r="F41" s="365">
        <f>G41+H41+I41+J41</f>
        <v>1</v>
      </c>
      <c r="G41" s="365">
        <v>1</v>
      </c>
      <c r="H41" s="365">
        <v>0</v>
      </c>
      <c r="I41" s="365">
        <v>0</v>
      </c>
      <c r="J41" s="365">
        <v>0</v>
      </c>
      <c r="K41" s="45"/>
      <c r="L41" s="44"/>
      <c r="M41" s="711"/>
    </row>
    <row r="42" spans="1:13" s="4" customFormat="1" hidden="1" x14ac:dyDescent="0.2">
      <c r="A42" s="689">
        <v>32</v>
      </c>
      <c r="B42" s="59" t="s">
        <v>71</v>
      </c>
      <c r="C42" s="56"/>
      <c r="D42" s="158"/>
      <c r="E42" s="158"/>
      <c r="F42" s="365"/>
      <c r="G42" s="365"/>
      <c r="H42" s="365"/>
      <c r="I42" s="365"/>
      <c r="J42" s="365"/>
      <c r="K42" s="45"/>
      <c r="L42" s="44"/>
      <c r="M42" s="711"/>
    </row>
    <row r="43" spans="1:13" s="4" customFormat="1" x14ac:dyDescent="0.2">
      <c r="A43" s="689">
        <v>33</v>
      </c>
      <c r="B43" s="55" t="s">
        <v>72</v>
      </c>
      <c r="C43" s="56" t="s">
        <v>73</v>
      </c>
      <c r="D43" s="164">
        <v>0</v>
      </c>
      <c r="E43" s="164">
        <v>0</v>
      </c>
      <c r="F43" s="365">
        <f>G43+H43+I43+J43</f>
        <v>15</v>
      </c>
      <c r="G43" s="365">
        <v>9</v>
      </c>
      <c r="H43" s="365">
        <f>9-5</f>
        <v>4</v>
      </c>
      <c r="I43" s="365">
        <f>9-7</f>
        <v>2</v>
      </c>
      <c r="J43" s="365">
        <f>8-8</f>
        <v>0</v>
      </c>
      <c r="K43" s="45"/>
      <c r="L43" s="44"/>
      <c r="M43" s="711"/>
    </row>
    <row r="44" spans="1:13" s="4" customFormat="1" x14ac:dyDescent="0.2">
      <c r="A44" s="689">
        <v>34</v>
      </c>
      <c r="B44" s="55" t="s">
        <v>74</v>
      </c>
      <c r="C44" s="56" t="s">
        <v>75</v>
      </c>
      <c r="D44" s="164">
        <v>0</v>
      </c>
      <c r="E44" s="164">
        <v>0</v>
      </c>
      <c r="F44" s="365">
        <f>G44+H44+I44+J44</f>
        <v>6</v>
      </c>
      <c r="G44" s="365">
        <v>2</v>
      </c>
      <c r="H44" s="365">
        <v>2</v>
      </c>
      <c r="I44" s="365">
        <v>2</v>
      </c>
      <c r="J44" s="365">
        <v>0</v>
      </c>
      <c r="K44" s="45"/>
      <c r="L44" s="44"/>
      <c r="M44" s="711"/>
    </row>
    <row r="45" spans="1:13" s="4" customFormat="1" hidden="1" x14ac:dyDescent="0.2">
      <c r="A45" s="689">
        <v>35</v>
      </c>
      <c r="B45" s="59" t="s">
        <v>76</v>
      </c>
      <c r="C45" s="41" t="s">
        <v>77</v>
      </c>
      <c r="D45" s="164"/>
      <c r="E45" s="164"/>
      <c r="F45" s="365"/>
      <c r="G45" s="365"/>
      <c r="H45" s="365"/>
      <c r="I45" s="365"/>
      <c r="J45" s="365"/>
      <c r="K45" s="45"/>
      <c r="L45" s="44"/>
      <c r="M45" s="711"/>
    </row>
    <row r="46" spans="1:13" s="4" customFormat="1" hidden="1" x14ac:dyDescent="0.2">
      <c r="A46" s="689">
        <v>36</v>
      </c>
      <c r="B46" s="59" t="s">
        <v>78</v>
      </c>
      <c r="C46" s="41" t="s">
        <v>79</v>
      </c>
      <c r="D46" s="164"/>
      <c r="E46" s="164"/>
      <c r="F46" s="365"/>
      <c r="G46" s="365"/>
      <c r="H46" s="365"/>
      <c r="I46" s="365"/>
      <c r="J46" s="365"/>
      <c r="K46" s="45"/>
      <c r="L46" s="44"/>
      <c r="M46" s="711"/>
    </row>
    <row r="47" spans="1:13" s="4" customFormat="1" x14ac:dyDescent="0.2">
      <c r="A47" s="689">
        <v>37</v>
      </c>
      <c r="B47" s="59" t="s">
        <v>80</v>
      </c>
      <c r="C47" s="41" t="s">
        <v>81</v>
      </c>
      <c r="D47" s="164">
        <f>D48</f>
        <v>0</v>
      </c>
      <c r="E47" s="164">
        <f>E48</f>
        <v>0</v>
      </c>
      <c r="F47" s="667">
        <f>F48</f>
        <v>4</v>
      </c>
      <c r="G47" s="365">
        <f>G48+G49</f>
        <v>2</v>
      </c>
      <c r="H47" s="365">
        <f>H48+H49</f>
        <v>2</v>
      </c>
      <c r="I47" s="365">
        <f>I48+I49</f>
        <v>0</v>
      </c>
      <c r="J47" s="365">
        <f>J48+J49</f>
        <v>0</v>
      </c>
      <c r="K47" s="45"/>
      <c r="L47" s="44"/>
      <c r="M47" s="711"/>
    </row>
    <row r="48" spans="1:13" s="4" customFormat="1" x14ac:dyDescent="0.2">
      <c r="A48" s="689">
        <v>38</v>
      </c>
      <c r="B48" s="59" t="s">
        <v>80</v>
      </c>
      <c r="C48" s="41"/>
      <c r="D48" s="164">
        <v>0</v>
      </c>
      <c r="E48" s="164">
        <v>0</v>
      </c>
      <c r="F48" s="365">
        <f>G48+H48+I48+J48</f>
        <v>4</v>
      </c>
      <c r="G48" s="365">
        <v>2</v>
      </c>
      <c r="H48" s="365">
        <v>2</v>
      </c>
      <c r="I48" s="365">
        <v>0</v>
      </c>
      <c r="J48" s="365">
        <v>0</v>
      </c>
      <c r="K48" s="45"/>
      <c r="L48" s="44"/>
      <c r="M48" s="711"/>
    </row>
    <row r="49" spans="1:13" s="4" customFormat="1" hidden="1" x14ac:dyDescent="0.2">
      <c r="A49" s="689">
        <v>39</v>
      </c>
      <c r="B49" s="59" t="s">
        <v>82</v>
      </c>
      <c r="C49" s="41"/>
      <c r="D49" s="164"/>
      <c r="E49" s="164"/>
      <c r="F49" s="365"/>
      <c r="G49" s="365"/>
      <c r="H49" s="365"/>
      <c r="I49" s="365"/>
      <c r="J49" s="365"/>
      <c r="K49" s="45"/>
      <c r="L49" s="44"/>
      <c r="M49" s="711"/>
    </row>
    <row r="50" spans="1:13" s="4" customFormat="1" x14ac:dyDescent="0.2">
      <c r="A50" s="689">
        <v>40</v>
      </c>
      <c r="B50" s="73" t="s">
        <v>83</v>
      </c>
      <c r="C50" s="56" t="s">
        <v>84</v>
      </c>
      <c r="D50" s="158">
        <f>D51</f>
        <v>0</v>
      </c>
      <c r="E50" s="158">
        <f>E51</f>
        <v>0</v>
      </c>
      <c r="F50" s="365">
        <f>F51+F52</f>
        <v>1</v>
      </c>
      <c r="G50" s="365">
        <f>G51+G52</f>
        <v>1</v>
      </c>
      <c r="H50" s="365">
        <f>H51+H52</f>
        <v>0</v>
      </c>
      <c r="I50" s="365">
        <f>I51+I52</f>
        <v>0</v>
      </c>
      <c r="J50" s="365">
        <f>J51+J52</f>
        <v>0</v>
      </c>
      <c r="K50" s="45"/>
      <c r="L50" s="44"/>
      <c r="M50" s="711"/>
    </row>
    <row r="51" spans="1:13" s="4" customFormat="1" x14ac:dyDescent="0.2">
      <c r="A51" s="689">
        <v>41</v>
      </c>
      <c r="B51" s="74" t="s">
        <v>83</v>
      </c>
      <c r="C51" s="41"/>
      <c r="D51" s="164">
        <v>0</v>
      </c>
      <c r="E51" s="164">
        <v>0</v>
      </c>
      <c r="F51" s="365">
        <f>G51+H51+I51+J51</f>
        <v>1</v>
      </c>
      <c r="G51" s="365">
        <v>1</v>
      </c>
      <c r="H51" s="365">
        <v>0</v>
      </c>
      <c r="I51" s="365">
        <v>0</v>
      </c>
      <c r="J51" s="365">
        <v>0</v>
      </c>
      <c r="K51" s="45"/>
      <c r="L51" s="44"/>
      <c r="M51" s="711"/>
    </row>
    <row r="52" spans="1:13" s="4" customFormat="1" hidden="1" x14ac:dyDescent="0.2">
      <c r="A52" s="689">
        <v>42</v>
      </c>
      <c r="B52" s="74" t="s">
        <v>85</v>
      </c>
      <c r="C52" s="41"/>
      <c r="D52" s="164"/>
      <c r="E52" s="164"/>
      <c r="F52" s="365"/>
      <c r="G52" s="365"/>
      <c r="H52" s="365"/>
      <c r="I52" s="365"/>
      <c r="J52" s="365"/>
      <c r="K52" s="250"/>
      <c r="L52" s="91"/>
      <c r="M52" s="780"/>
    </row>
    <row r="53" spans="1:13" s="4" customFormat="1" x14ac:dyDescent="0.2">
      <c r="A53" s="689">
        <v>43</v>
      </c>
      <c r="B53" s="55" t="s">
        <v>86</v>
      </c>
      <c r="C53" s="56" t="s">
        <v>87</v>
      </c>
      <c r="D53" s="158">
        <f>D54+D55</f>
        <v>0</v>
      </c>
      <c r="E53" s="158">
        <f>E54+E55</f>
        <v>0</v>
      </c>
      <c r="F53" s="365">
        <f>F54+F55+F56</f>
        <v>18</v>
      </c>
      <c r="G53" s="365">
        <f>G54+G55+G56</f>
        <v>9</v>
      </c>
      <c r="H53" s="365">
        <f>H54+H55+H56</f>
        <v>5</v>
      </c>
      <c r="I53" s="365">
        <f>I54+I55+I56</f>
        <v>4</v>
      </c>
      <c r="J53" s="365">
        <f>J54+J55+J56</f>
        <v>0</v>
      </c>
      <c r="K53" s="250"/>
      <c r="L53" s="91"/>
      <c r="M53" s="780"/>
    </row>
    <row r="54" spans="1:13" s="4" customFormat="1" x14ac:dyDescent="0.2">
      <c r="A54" s="689">
        <v>44</v>
      </c>
      <c r="B54" s="59" t="s">
        <v>88</v>
      </c>
      <c r="C54" s="41"/>
      <c r="D54" s="164">
        <v>0</v>
      </c>
      <c r="E54" s="164">
        <v>0</v>
      </c>
      <c r="F54" s="365">
        <f>G54+H54+I54+J54</f>
        <v>15</v>
      </c>
      <c r="G54" s="365">
        <f>4+3</f>
        <v>7</v>
      </c>
      <c r="H54" s="365">
        <v>4</v>
      </c>
      <c r="I54" s="365">
        <v>4</v>
      </c>
      <c r="J54" s="365">
        <v>0</v>
      </c>
      <c r="K54" s="250"/>
      <c r="L54" s="91"/>
      <c r="M54" s="780"/>
    </row>
    <row r="55" spans="1:13" s="4" customFormat="1" x14ac:dyDescent="0.2">
      <c r="A55" s="689">
        <v>45</v>
      </c>
      <c r="B55" s="59" t="s">
        <v>89</v>
      </c>
      <c r="C55" s="41"/>
      <c r="D55" s="164">
        <v>0</v>
      </c>
      <c r="E55" s="164">
        <v>0</v>
      </c>
      <c r="F55" s="365">
        <f>G55+H55+I55+J55</f>
        <v>3</v>
      </c>
      <c r="G55" s="365">
        <f>4-2</f>
        <v>2</v>
      </c>
      <c r="H55" s="365">
        <v>1</v>
      </c>
      <c r="I55" s="365">
        <v>0</v>
      </c>
      <c r="J55" s="365">
        <v>0</v>
      </c>
      <c r="K55" s="250"/>
      <c r="L55" s="91"/>
      <c r="M55" s="780"/>
    </row>
    <row r="56" spans="1:13" s="4" customFormat="1" hidden="1" x14ac:dyDescent="0.2">
      <c r="A56" s="689">
        <v>46</v>
      </c>
      <c r="B56" s="59" t="s">
        <v>233</v>
      </c>
      <c r="C56" s="41"/>
      <c r="D56" s="164"/>
      <c r="E56" s="164"/>
      <c r="F56" s="364"/>
      <c r="G56" s="364"/>
      <c r="H56" s="364"/>
      <c r="I56" s="364"/>
      <c r="J56" s="364"/>
      <c r="K56" s="104"/>
      <c r="L56" s="103"/>
      <c r="M56" s="781"/>
    </row>
    <row r="57" spans="1:13" s="4" customFormat="1" hidden="1" x14ac:dyDescent="0.2">
      <c r="A57" s="689">
        <v>47</v>
      </c>
      <c r="B57" s="55" t="s">
        <v>91</v>
      </c>
      <c r="C57" s="75" t="s">
        <v>92</v>
      </c>
      <c r="D57" s="158"/>
      <c r="E57" s="158"/>
      <c r="F57" s="364"/>
      <c r="G57" s="364"/>
      <c r="H57" s="364"/>
      <c r="I57" s="364"/>
      <c r="J57" s="364"/>
      <c r="K57" s="104"/>
      <c r="L57" s="103"/>
      <c r="M57" s="781"/>
    </row>
    <row r="58" spans="1:13" s="4" customFormat="1" hidden="1" x14ac:dyDescent="0.2">
      <c r="A58" s="689">
        <v>48</v>
      </c>
      <c r="B58" s="74" t="s">
        <v>247</v>
      </c>
      <c r="C58" s="56" t="s">
        <v>94</v>
      </c>
      <c r="D58" s="158">
        <v>0</v>
      </c>
      <c r="E58" s="158">
        <v>0</v>
      </c>
      <c r="F58" s="364">
        <f>G58+H58+I58+J58</f>
        <v>0</v>
      </c>
      <c r="G58" s="364">
        <v>0</v>
      </c>
      <c r="H58" s="364">
        <v>0</v>
      </c>
      <c r="I58" s="364">
        <v>0</v>
      </c>
      <c r="J58" s="364">
        <v>0</v>
      </c>
      <c r="K58" s="104"/>
      <c r="L58" s="103"/>
      <c r="M58" s="781"/>
    </row>
    <row r="59" spans="1:13" s="4" customFormat="1" x14ac:dyDescent="0.2">
      <c r="A59" s="689">
        <v>49</v>
      </c>
      <c r="B59" s="55" t="s">
        <v>95</v>
      </c>
      <c r="C59" s="56" t="s">
        <v>96</v>
      </c>
      <c r="D59" s="158">
        <f>D61+D62+D63</f>
        <v>0</v>
      </c>
      <c r="E59" s="158">
        <f>E61+E62+E63</f>
        <v>0</v>
      </c>
      <c r="F59" s="364">
        <f>F60+F61+F62</f>
        <v>2</v>
      </c>
      <c r="G59" s="364">
        <f>G60+G61+G62</f>
        <v>2</v>
      </c>
      <c r="H59" s="364">
        <f>H60+H61+H62</f>
        <v>0</v>
      </c>
      <c r="I59" s="364">
        <f>I60+I61+I62</f>
        <v>0</v>
      </c>
      <c r="J59" s="364">
        <f>J60+J61+J62</f>
        <v>0</v>
      </c>
      <c r="K59" s="104"/>
      <c r="L59" s="103"/>
      <c r="M59" s="781"/>
    </row>
    <row r="60" spans="1:13" s="4" customFormat="1" hidden="1" x14ac:dyDescent="0.2">
      <c r="A60" s="689">
        <v>50</v>
      </c>
      <c r="B60" s="59" t="s">
        <v>97</v>
      </c>
      <c r="C60" s="41" t="s">
        <v>98</v>
      </c>
      <c r="D60" s="164"/>
      <c r="E60" s="164"/>
      <c r="F60" s="365"/>
      <c r="G60" s="365"/>
      <c r="H60" s="365"/>
      <c r="I60" s="365"/>
      <c r="J60" s="365"/>
      <c r="K60" s="250"/>
      <c r="L60" s="91"/>
      <c r="M60" s="780"/>
    </row>
    <row r="61" spans="1:13" s="4" customFormat="1" x14ac:dyDescent="0.2">
      <c r="A61" s="689">
        <v>51</v>
      </c>
      <c r="B61" s="59" t="s">
        <v>99</v>
      </c>
      <c r="C61" s="41" t="s">
        <v>100</v>
      </c>
      <c r="D61" s="164">
        <v>0</v>
      </c>
      <c r="E61" s="164">
        <v>0</v>
      </c>
      <c r="F61" s="365">
        <f>G61+H61+I61+J61</f>
        <v>1</v>
      </c>
      <c r="G61" s="365">
        <v>1</v>
      </c>
      <c r="H61" s="365">
        <v>0</v>
      </c>
      <c r="I61" s="365">
        <v>0</v>
      </c>
      <c r="J61" s="365">
        <v>0</v>
      </c>
      <c r="K61" s="250"/>
      <c r="L61" s="91"/>
      <c r="M61" s="780"/>
    </row>
    <row r="62" spans="1:13" s="4" customFormat="1" x14ac:dyDescent="0.2">
      <c r="A62" s="689">
        <v>52</v>
      </c>
      <c r="B62" s="59" t="s">
        <v>101</v>
      </c>
      <c r="C62" s="41" t="s">
        <v>102</v>
      </c>
      <c r="D62" s="164">
        <v>0</v>
      </c>
      <c r="E62" s="164">
        <v>0</v>
      </c>
      <c r="F62" s="365">
        <f>G62+H62+I62+J62</f>
        <v>1</v>
      </c>
      <c r="G62" s="365">
        <v>1</v>
      </c>
      <c r="H62" s="365">
        <v>0</v>
      </c>
      <c r="I62" s="365">
        <v>0</v>
      </c>
      <c r="J62" s="365">
        <v>0</v>
      </c>
      <c r="K62" s="250"/>
      <c r="L62" s="91"/>
      <c r="M62" s="780"/>
    </row>
    <row r="63" spans="1:13" s="4" customFormat="1" hidden="1" x14ac:dyDescent="0.2">
      <c r="A63" s="689">
        <v>53</v>
      </c>
      <c r="B63" s="59" t="s">
        <v>234</v>
      </c>
      <c r="C63" s="41" t="s">
        <v>102</v>
      </c>
      <c r="D63" s="190" t="s">
        <v>139</v>
      </c>
      <c r="E63" s="190" t="s">
        <v>139</v>
      </c>
      <c r="F63" s="365">
        <f t="shared" ref="F63:F72" si="4">G63+H63+I63+J63</f>
        <v>0</v>
      </c>
      <c r="G63" s="365"/>
      <c r="H63" s="365"/>
      <c r="I63" s="365"/>
      <c r="J63" s="365"/>
      <c r="K63" s="250"/>
      <c r="L63" s="91"/>
      <c r="M63" s="780"/>
    </row>
    <row r="64" spans="1:13" s="4" customFormat="1" x14ac:dyDescent="0.2">
      <c r="A64" s="689">
        <v>54</v>
      </c>
      <c r="B64" s="76" t="s">
        <v>104</v>
      </c>
      <c r="C64" s="56" t="s">
        <v>105</v>
      </c>
      <c r="D64" s="53">
        <f>D67+D68+D65</f>
        <v>0</v>
      </c>
      <c r="E64" s="53">
        <f>E67+E68+E65</f>
        <v>0</v>
      </c>
      <c r="F64" s="364">
        <f t="shared" si="4"/>
        <v>7</v>
      </c>
      <c r="G64" s="364">
        <f>G65+G66+G67</f>
        <v>5</v>
      </c>
      <c r="H64" s="364">
        <f>H65+H66+H67</f>
        <v>2</v>
      </c>
      <c r="I64" s="364">
        <f>I65+I66+I67</f>
        <v>0</v>
      </c>
      <c r="J64" s="364">
        <f>J65+J66+J67</f>
        <v>0</v>
      </c>
      <c r="K64" s="104"/>
      <c r="L64" s="103"/>
      <c r="M64" s="781"/>
    </row>
    <row r="65" spans="1:13" s="4" customFormat="1" x14ac:dyDescent="0.2">
      <c r="A65" s="689">
        <v>55</v>
      </c>
      <c r="B65" s="59" t="s">
        <v>106</v>
      </c>
      <c r="C65" s="41" t="s">
        <v>107</v>
      </c>
      <c r="D65" s="252" t="s">
        <v>139</v>
      </c>
      <c r="E65" s="252" t="s">
        <v>139</v>
      </c>
      <c r="F65" s="365">
        <f t="shared" si="4"/>
        <v>0</v>
      </c>
      <c r="G65" s="364">
        <v>0</v>
      </c>
      <c r="H65" s="364">
        <v>0</v>
      </c>
      <c r="I65" s="364">
        <v>0</v>
      </c>
      <c r="J65" s="364">
        <v>0</v>
      </c>
      <c r="K65" s="104"/>
      <c r="L65" s="103"/>
      <c r="M65" s="781"/>
    </row>
    <row r="66" spans="1:13" s="4" customFormat="1" hidden="1" x14ac:dyDescent="0.2">
      <c r="A66" s="689">
        <v>56</v>
      </c>
      <c r="B66" s="59" t="s">
        <v>108</v>
      </c>
      <c r="C66" s="41" t="s">
        <v>109</v>
      </c>
      <c r="D66" s="252"/>
      <c r="E66" s="252"/>
      <c r="F66" s="365">
        <f t="shared" si="4"/>
        <v>0</v>
      </c>
      <c r="G66" s="365"/>
      <c r="H66" s="365"/>
      <c r="I66" s="365"/>
      <c r="J66" s="365"/>
      <c r="K66" s="250"/>
      <c r="L66" s="91"/>
      <c r="M66" s="780"/>
    </row>
    <row r="67" spans="1:13" s="4" customFormat="1" ht="13.5" customHeight="1" x14ac:dyDescent="0.2">
      <c r="A67" s="689">
        <v>57</v>
      </c>
      <c r="B67" s="62" t="s">
        <v>110</v>
      </c>
      <c r="C67" s="63" t="s">
        <v>111</v>
      </c>
      <c r="D67" s="253"/>
      <c r="E67" s="253" t="s">
        <v>139</v>
      </c>
      <c r="F67" s="365">
        <f t="shared" si="4"/>
        <v>7</v>
      </c>
      <c r="G67" s="797">
        <v>5</v>
      </c>
      <c r="H67" s="797">
        <v>2</v>
      </c>
      <c r="I67" s="797">
        <v>0</v>
      </c>
      <c r="J67" s="797">
        <v>0</v>
      </c>
      <c r="K67" s="254"/>
      <c r="L67" s="94"/>
      <c r="M67" s="782"/>
    </row>
    <row r="68" spans="1:13" s="4" customFormat="1" ht="13.5" hidden="1" customHeight="1" x14ac:dyDescent="0.2">
      <c r="A68" s="689">
        <v>58</v>
      </c>
      <c r="B68" s="192" t="s">
        <v>235</v>
      </c>
      <c r="C68" s="255" t="s">
        <v>111</v>
      </c>
      <c r="D68" s="256" t="s">
        <v>139</v>
      </c>
      <c r="E68" s="256" t="s">
        <v>139</v>
      </c>
      <c r="F68" s="365">
        <f t="shared" si="4"/>
        <v>0</v>
      </c>
      <c r="G68" s="799">
        <v>0</v>
      </c>
      <c r="H68" s="799">
        <v>0</v>
      </c>
      <c r="I68" s="799">
        <v>0</v>
      </c>
      <c r="J68" s="799">
        <v>0</v>
      </c>
      <c r="K68" s="258"/>
      <c r="L68" s="259"/>
      <c r="M68" s="783"/>
    </row>
    <row r="69" spans="1:13" s="4" customFormat="1" ht="13.5" hidden="1" customHeight="1" x14ac:dyDescent="0.2">
      <c r="A69" s="689">
        <v>59</v>
      </c>
      <c r="B69" s="194" t="s">
        <v>113</v>
      </c>
      <c r="C69" s="69" t="s">
        <v>114</v>
      </c>
      <c r="D69" s="260" t="s">
        <v>139</v>
      </c>
      <c r="E69" s="260" t="s">
        <v>139</v>
      </c>
      <c r="F69" s="365">
        <f t="shared" si="4"/>
        <v>0</v>
      </c>
      <c r="G69" s="414">
        <f>G70+G71</f>
        <v>0</v>
      </c>
      <c r="H69" s="414">
        <f>H70+H71</f>
        <v>0</v>
      </c>
      <c r="I69" s="414">
        <f>I70+I71</f>
        <v>0</v>
      </c>
      <c r="J69" s="414">
        <f>J70+J71</f>
        <v>0</v>
      </c>
      <c r="K69" s="98"/>
      <c r="L69" s="97"/>
      <c r="M69" s="784"/>
    </row>
    <row r="70" spans="1:13" s="4" customFormat="1" ht="13.5" hidden="1" customHeight="1" x14ac:dyDescent="0.2">
      <c r="A70" s="689">
        <v>60</v>
      </c>
      <c r="B70" s="59" t="s">
        <v>115</v>
      </c>
      <c r="C70" s="41" t="s">
        <v>116</v>
      </c>
      <c r="D70" s="252"/>
      <c r="E70" s="252"/>
      <c r="F70" s="365">
        <f t="shared" si="4"/>
        <v>0</v>
      </c>
      <c r="G70" s="365"/>
      <c r="H70" s="365"/>
      <c r="I70" s="365"/>
      <c r="J70" s="365"/>
      <c r="K70" s="250"/>
      <c r="L70" s="91"/>
      <c r="M70" s="780"/>
    </row>
    <row r="71" spans="1:13" s="4" customFormat="1" ht="13.5" hidden="1" customHeight="1" x14ac:dyDescent="0.2">
      <c r="A71" s="689">
        <v>61</v>
      </c>
      <c r="B71" s="59" t="s">
        <v>117</v>
      </c>
      <c r="C71" s="41" t="s">
        <v>118</v>
      </c>
      <c r="D71" s="252"/>
      <c r="E71" s="252"/>
      <c r="F71" s="365">
        <f t="shared" si="4"/>
        <v>0</v>
      </c>
      <c r="G71" s="365"/>
      <c r="H71" s="365"/>
      <c r="I71" s="365"/>
      <c r="J71" s="365"/>
      <c r="K71" s="250"/>
      <c r="L71" s="91"/>
      <c r="M71" s="780"/>
    </row>
    <row r="72" spans="1:13" s="4" customFormat="1" ht="13.5" customHeight="1" thickBot="1" x14ac:dyDescent="0.25">
      <c r="A72" s="689">
        <v>62</v>
      </c>
      <c r="B72" s="195" t="s">
        <v>119</v>
      </c>
      <c r="C72" s="261" t="s">
        <v>120</v>
      </c>
      <c r="D72" s="262" t="s">
        <v>139</v>
      </c>
      <c r="E72" s="262" t="s">
        <v>139</v>
      </c>
      <c r="F72" s="364">
        <f t="shared" si="4"/>
        <v>0</v>
      </c>
      <c r="G72" s="418">
        <v>0</v>
      </c>
      <c r="H72" s="418">
        <f>1-1</f>
        <v>0</v>
      </c>
      <c r="I72" s="418">
        <v>0</v>
      </c>
      <c r="J72" s="418">
        <v>0</v>
      </c>
      <c r="K72" s="131"/>
      <c r="L72" s="132"/>
      <c r="M72" s="785"/>
    </row>
    <row r="73" spans="1:13" s="4" customFormat="1" ht="13.5" hidden="1" customHeight="1" x14ac:dyDescent="0.2">
      <c r="A73" s="689">
        <v>63</v>
      </c>
      <c r="B73" s="35" t="s">
        <v>121</v>
      </c>
      <c r="C73" s="69" t="s">
        <v>122</v>
      </c>
      <c r="D73" s="260"/>
      <c r="E73" s="260"/>
      <c r="F73" s="414"/>
      <c r="G73" s="414"/>
      <c r="H73" s="414"/>
      <c r="I73" s="414"/>
      <c r="J73" s="414"/>
      <c r="K73" s="98"/>
      <c r="L73" s="97"/>
      <c r="M73" s="784"/>
    </row>
    <row r="74" spans="1:13" s="4" customFormat="1" ht="13.5" hidden="1" customHeight="1" x14ac:dyDescent="0.2">
      <c r="A74" s="689">
        <v>64</v>
      </c>
      <c r="B74" s="55" t="s">
        <v>123</v>
      </c>
      <c r="C74" s="56" t="s">
        <v>124</v>
      </c>
      <c r="D74" s="263"/>
      <c r="E74" s="263"/>
      <c r="F74" s="364"/>
      <c r="G74" s="364"/>
      <c r="H74" s="364"/>
      <c r="I74" s="364"/>
      <c r="J74" s="364"/>
      <c r="K74" s="104"/>
      <c r="L74" s="103"/>
      <c r="M74" s="781"/>
    </row>
    <row r="75" spans="1:13" s="4" customFormat="1" ht="13.5" hidden="1" customHeight="1" x14ac:dyDescent="0.2">
      <c r="A75" s="689">
        <v>65</v>
      </c>
      <c r="B75" s="402" t="s">
        <v>125</v>
      </c>
      <c r="C75" s="403" t="s">
        <v>126</v>
      </c>
      <c r="D75" s="770"/>
      <c r="E75" s="770"/>
      <c r="F75" s="796"/>
      <c r="G75" s="796"/>
      <c r="H75" s="796"/>
      <c r="I75" s="796"/>
      <c r="J75" s="796"/>
      <c r="K75" s="104"/>
      <c r="L75" s="103"/>
      <c r="M75" s="781"/>
    </row>
    <row r="76" spans="1:13" s="4" customFormat="1" ht="13.5" customHeight="1" x14ac:dyDescent="0.2">
      <c r="A76" s="689">
        <v>66</v>
      </c>
      <c r="B76" s="637" t="s">
        <v>127</v>
      </c>
      <c r="C76" s="653" t="s">
        <v>128</v>
      </c>
      <c r="D76" s="813">
        <f t="shared" ref="D76:J76" si="5">D77+D78</f>
        <v>0</v>
      </c>
      <c r="E76" s="813">
        <f t="shared" si="5"/>
        <v>0</v>
      </c>
      <c r="F76" s="813">
        <f t="shared" si="5"/>
        <v>120</v>
      </c>
      <c r="G76" s="813">
        <f t="shared" si="5"/>
        <v>38</v>
      </c>
      <c r="H76" s="813">
        <f t="shared" si="5"/>
        <v>33</v>
      </c>
      <c r="I76" s="813">
        <f t="shared" si="5"/>
        <v>28</v>
      </c>
      <c r="J76" s="813">
        <f t="shared" si="5"/>
        <v>21</v>
      </c>
      <c r="K76" s="296"/>
      <c r="L76" s="103"/>
      <c r="M76" s="781"/>
    </row>
    <row r="77" spans="1:13" s="4" customFormat="1" ht="13.5" hidden="1" customHeight="1" x14ac:dyDescent="0.2">
      <c r="A77" s="689">
        <v>67</v>
      </c>
      <c r="B77" s="645" t="s">
        <v>129</v>
      </c>
      <c r="C77" s="646" t="s">
        <v>130</v>
      </c>
      <c r="D77" s="772"/>
      <c r="E77" s="772"/>
      <c r="F77" s="814">
        <f>G77+H77+I77+J77</f>
        <v>0</v>
      </c>
      <c r="G77" s="814"/>
      <c r="H77" s="814"/>
      <c r="I77" s="814"/>
      <c r="J77" s="814"/>
      <c r="K77" s="296"/>
      <c r="L77" s="103"/>
      <c r="M77" s="781"/>
    </row>
    <row r="78" spans="1:13" s="4" customFormat="1" ht="13.5" customHeight="1" x14ac:dyDescent="0.2">
      <c r="A78" s="689">
        <v>68</v>
      </c>
      <c r="B78" s="645" t="s">
        <v>131</v>
      </c>
      <c r="C78" s="653" t="s">
        <v>132</v>
      </c>
      <c r="D78" s="813">
        <f t="shared" ref="D78:J78" si="6">D79+D80+D81+D82+D86+D87+D85</f>
        <v>0</v>
      </c>
      <c r="E78" s="813">
        <f t="shared" si="6"/>
        <v>0</v>
      </c>
      <c r="F78" s="813">
        <f t="shared" si="6"/>
        <v>120</v>
      </c>
      <c r="G78" s="813">
        <f t="shared" si="6"/>
        <v>38</v>
      </c>
      <c r="H78" s="813">
        <f t="shared" si="6"/>
        <v>33</v>
      </c>
      <c r="I78" s="813">
        <f t="shared" si="6"/>
        <v>28</v>
      </c>
      <c r="J78" s="813">
        <f t="shared" si="6"/>
        <v>21</v>
      </c>
      <c r="K78" s="297"/>
      <c r="L78" s="91"/>
      <c r="M78" s="780"/>
    </row>
    <row r="79" spans="1:13" s="4" customFormat="1" ht="13.5" hidden="1" customHeight="1" x14ac:dyDescent="0.2">
      <c r="A79" s="689">
        <v>69</v>
      </c>
      <c r="B79" s="645" t="s">
        <v>356</v>
      </c>
      <c r="C79" s="646"/>
      <c r="D79" s="763"/>
      <c r="E79" s="763"/>
      <c r="F79" s="800"/>
      <c r="G79" s="800"/>
      <c r="H79" s="800"/>
      <c r="I79" s="800"/>
      <c r="J79" s="800"/>
      <c r="K79" s="297"/>
      <c r="L79" s="91"/>
      <c r="M79" s="780"/>
    </row>
    <row r="80" spans="1:13" s="4" customFormat="1" ht="13.5" hidden="1" customHeight="1" x14ac:dyDescent="0.2">
      <c r="A80" s="689">
        <v>70</v>
      </c>
      <c r="B80" s="645" t="s">
        <v>355</v>
      </c>
      <c r="C80" s="646"/>
      <c r="D80" s="763"/>
      <c r="E80" s="763"/>
      <c r="F80" s="800"/>
      <c r="G80" s="800"/>
      <c r="H80" s="800"/>
      <c r="I80" s="800"/>
      <c r="J80" s="800"/>
      <c r="K80" s="297"/>
      <c r="L80" s="91"/>
      <c r="M80" s="780"/>
    </row>
    <row r="81" spans="1:13" s="4" customFormat="1" ht="13.5" customHeight="1" x14ac:dyDescent="0.2">
      <c r="A81" s="689">
        <v>71</v>
      </c>
      <c r="B81" s="645" t="s">
        <v>352</v>
      </c>
      <c r="C81" s="646"/>
      <c r="D81" s="763" t="s">
        <v>139</v>
      </c>
      <c r="E81" s="763" t="s">
        <v>139</v>
      </c>
      <c r="F81" s="800">
        <f t="shared" ref="F81:F87" si="7">G81+H81+I81+J81</f>
        <v>15</v>
      </c>
      <c r="G81" s="800">
        <v>10</v>
      </c>
      <c r="H81" s="800">
        <v>5</v>
      </c>
      <c r="I81" s="800">
        <v>0</v>
      </c>
      <c r="J81" s="800">
        <v>0</v>
      </c>
      <c r="K81" s="297"/>
      <c r="L81" s="91"/>
      <c r="M81" s="780"/>
    </row>
    <row r="82" spans="1:13" s="4" customFormat="1" ht="13.5" hidden="1" customHeight="1" thickBot="1" x14ac:dyDescent="0.25">
      <c r="A82" s="689">
        <v>72</v>
      </c>
      <c r="B82" s="645" t="s">
        <v>349</v>
      </c>
      <c r="C82" s="646"/>
      <c r="D82" s="763" t="s">
        <v>139</v>
      </c>
      <c r="E82" s="763" t="s">
        <v>139</v>
      </c>
      <c r="F82" s="800">
        <f t="shared" si="7"/>
        <v>0</v>
      </c>
      <c r="G82" s="800">
        <v>0</v>
      </c>
      <c r="H82" s="800">
        <v>0</v>
      </c>
      <c r="I82" s="800">
        <v>0</v>
      </c>
      <c r="J82" s="800">
        <v>0</v>
      </c>
      <c r="K82" s="301"/>
      <c r="L82" s="266"/>
      <c r="M82" s="786"/>
    </row>
    <row r="83" spans="1:13" s="4" customFormat="1" ht="13.5" hidden="1" customHeight="1" x14ac:dyDescent="0.2">
      <c r="A83" s="689">
        <v>73</v>
      </c>
      <c r="B83" s="645" t="s">
        <v>135</v>
      </c>
      <c r="C83" s="646"/>
      <c r="D83" s="646"/>
      <c r="E83" s="646"/>
      <c r="F83" s="800">
        <f t="shared" si="7"/>
        <v>0</v>
      </c>
      <c r="G83" s="800"/>
      <c r="H83" s="800"/>
      <c r="I83" s="800"/>
      <c r="J83" s="800"/>
      <c r="K83" s="769"/>
      <c r="L83" s="268"/>
      <c r="M83" s="787"/>
    </row>
    <row r="84" spans="1:13" s="4" customFormat="1" ht="13.5" hidden="1" customHeight="1" x14ac:dyDescent="0.2">
      <c r="A84" s="689">
        <v>74</v>
      </c>
      <c r="B84" s="645" t="s">
        <v>295</v>
      </c>
      <c r="C84" s="646"/>
      <c r="D84" s="646"/>
      <c r="E84" s="646"/>
      <c r="F84" s="800">
        <f t="shared" si="7"/>
        <v>0</v>
      </c>
      <c r="G84" s="800"/>
      <c r="H84" s="800"/>
      <c r="I84" s="800"/>
      <c r="J84" s="800"/>
      <c r="K84" s="297"/>
      <c r="L84" s="91"/>
      <c r="M84" s="780"/>
    </row>
    <row r="85" spans="1:13" s="4" customFormat="1" ht="13.5" customHeight="1" x14ac:dyDescent="0.2">
      <c r="A85" s="689">
        <v>75</v>
      </c>
      <c r="B85" s="645" t="s">
        <v>353</v>
      </c>
      <c r="C85" s="646"/>
      <c r="D85" s="639" t="s">
        <v>139</v>
      </c>
      <c r="E85" s="639" t="s">
        <v>139</v>
      </c>
      <c r="F85" s="800">
        <f t="shared" si="7"/>
        <v>66</v>
      </c>
      <c r="G85" s="800">
        <v>18</v>
      </c>
      <c r="H85" s="800">
        <v>18</v>
      </c>
      <c r="I85" s="800">
        <v>18</v>
      </c>
      <c r="J85" s="800">
        <v>12</v>
      </c>
      <c r="K85" s="762"/>
      <c r="L85" s="88"/>
      <c r="M85" s="788"/>
    </row>
    <row r="86" spans="1:13" s="4" customFormat="1" x14ac:dyDescent="0.2">
      <c r="A86" s="689">
        <v>76</v>
      </c>
      <c r="B86" s="645" t="s">
        <v>354</v>
      </c>
      <c r="C86" s="646"/>
      <c r="D86" s="639" t="s">
        <v>139</v>
      </c>
      <c r="E86" s="639" t="s">
        <v>139</v>
      </c>
      <c r="F86" s="800">
        <f t="shared" si="7"/>
        <v>39</v>
      </c>
      <c r="G86" s="800">
        <v>10</v>
      </c>
      <c r="H86" s="800">
        <v>10</v>
      </c>
      <c r="I86" s="800">
        <v>10</v>
      </c>
      <c r="J86" s="800">
        <v>9</v>
      </c>
      <c r="K86" s="762"/>
      <c r="L86" s="88"/>
      <c r="M86" s="788"/>
    </row>
    <row r="87" spans="1:13" s="4" customFormat="1" ht="13.5" hidden="1" thickBot="1" x14ac:dyDescent="0.25">
      <c r="A87" s="689">
        <v>77</v>
      </c>
      <c r="B87" s="789" t="s">
        <v>136</v>
      </c>
      <c r="C87" s="790"/>
      <c r="D87" s="791" t="s">
        <v>139</v>
      </c>
      <c r="E87" s="791" t="s">
        <v>139</v>
      </c>
      <c r="F87" s="815">
        <f t="shared" si="7"/>
        <v>0</v>
      </c>
      <c r="G87" s="815">
        <v>0</v>
      </c>
      <c r="H87" s="815">
        <v>0</v>
      </c>
      <c r="I87" s="815">
        <v>0</v>
      </c>
      <c r="J87" s="815">
        <v>0</v>
      </c>
      <c r="K87" s="793"/>
      <c r="L87" s="794"/>
      <c r="M87" s="795"/>
    </row>
    <row r="88" spans="1:13" s="4" customFormat="1" ht="25.5" hidden="1" x14ac:dyDescent="0.2">
      <c r="A88" s="689">
        <v>78</v>
      </c>
      <c r="B88" s="197" t="s">
        <v>140</v>
      </c>
      <c r="C88" s="69" t="s">
        <v>141</v>
      </c>
      <c r="D88" s="96"/>
      <c r="E88" s="96"/>
      <c r="F88" s="37"/>
      <c r="G88" s="37"/>
      <c r="H88" s="37"/>
      <c r="I88" s="37"/>
      <c r="J88" s="37"/>
      <c r="K88" s="98"/>
      <c r="L88" s="97"/>
      <c r="M88" s="99"/>
    </row>
    <row r="89" spans="1:13" s="4" customFormat="1" ht="38.25" hidden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43"/>
      <c r="G89" s="43"/>
      <c r="H89" s="43"/>
      <c r="I89" s="43"/>
      <c r="J89" s="43"/>
      <c r="K89" s="104"/>
      <c r="L89" s="103"/>
      <c r="M89" s="105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174"/>
      <c r="G90" s="174"/>
      <c r="H90" s="174"/>
      <c r="I90" s="174"/>
      <c r="J90" s="174"/>
      <c r="K90" s="109"/>
      <c r="L90" s="108"/>
      <c r="M90" s="110"/>
    </row>
    <row r="91" spans="1:13" s="4" customFormat="1" hidden="1" x14ac:dyDescent="0.2">
      <c r="A91" s="689">
        <v>81</v>
      </c>
      <c r="B91" s="35" t="s">
        <v>146</v>
      </c>
      <c r="C91" s="69" t="s">
        <v>147</v>
      </c>
      <c r="D91" s="96"/>
      <c r="E91" s="96"/>
      <c r="F91" s="175"/>
      <c r="G91" s="175"/>
      <c r="H91" s="175"/>
      <c r="I91" s="175"/>
      <c r="J91" s="175"/>
      <c r="K91" s="112"/>
      <c r="L91" s="111"/>
      <c r="M91" s="113"/>
    </row>
    <row r="92" spans="1:13" s="4" customFormat="1" hidden="1" x14ac:dyDescent="0.2">
      <c r="A92" s="689">
        <v>82</v>
      </c>
      <c r="B92" s="55" t="s">
        <v>148</v>
      </c>
      <c r="C92" s="56" t="s">
        <v>149</v>
      </c>
      <c r="D92" s="114"/>
      <c r="E92" s="114"/>
      <c r="F92" s="43">
        <f>F93</f>
        <v>0</v>
      </c>
      <c r="G92" s="43">
        <f>G93</f>
        <v>0</v>
      </c>
      <c r="H92" s="43">
        <f>H93</f>
        <v>0</v>
      </c>
      <c r="I92" s="43">
        <f>I93</f>
        <v>0</v>
      </c>
      <c r="J92" s="43">
        <f>J93</f>
        <v>0</v>
      </c>
      <c r="K92" s="104"/>
      <c r="L92" s="103"/>
      <c r="M92" s="105"/>
    </row>
    <row r="93" spans="1:13" s="4" customFormat="1" hidden="1" x14ac:dyDescent="0.2">
      <c r="A93" s="689">
        <v>83</v>
      </c>
      <c r="B93" s="115" t="s">
        <v>150</v>
      </c>
      <c r="C93" s="56" t="s">
        <v>151</v>
      </c>
      <c r="D93" s="114"/>
      <c r="E93" s="114"/>
      <c r="F93" s="43">
        <f>F94+F107</f>
        <v>0</v>
      </c>
      <c r="G93" s="43">
        <f>G94+G107</f>
        <v>0</v>
      </c>
      <c r="H93" s="43">
        <f>H94+H107</f>
        <v>0</v>
      </c>
      <c r="I93" s="43">
        <f>I94+I107</f>
        <v>0</v>
      </c>
      <c r="J93" s="43">
        <f>J94+J107</f>
        <v>0</v>
      </c>
      <c r="K93" s="104"/>
      <c r="L93" s="103"/>
      <c r="M93" s="105"/>
    </row>
    <row r="94" spans="1:13" s="4" customFormat="1" hidden="1" x14ac:dyDescent="0.2">
      <c r="A94" s="689">
        <v>84</v>
      </c>
      <c r="B94" s="115" t="s">
        <v>152</v>
      </c>
      <c r="C94" s="56" t="s">
        <v>153</v>
      </c>
      <c r="D94" s="114"/>
      <c r="E94" s="114"/>
      <c r="F94" s="43">
        <f>F95+F96+F97+F98+F100+F101</f>
        <v>0</v>
      </c>
      <c r="G94" s="43">
        <f>G95+G96+G97+G98+G100+G101</f>
        <v>0</v>
      </c>
      <c r="H94" s="43">
        <f>H95+H96+H97+H98+H100+H101</f>
        <v>0</v>
      </c>
      <c r="I94" s="43">
        <f>I95+I96+I97+I98+I100+I101</f>
        <v>0</v>
      </c>
      <c r="J94" s="43">
        <f>J95+J96+J97+J98+J100+J101</f>
        <v>0</v>
      </c>
      <c r="K94" s="104"/>
      <c r="L94" s="103"/>
      <c r="M94" s="105"/>
    </row>
    <row r="95" spans="1:13" s="4" customFormat="1" hidden="1" x14ac:dyDescent="0.2">
      <c r="A95" s="689">
        <v>85</v>
      </c>
      <c r="B95" s="116" t="s">
        <v>154</v>
      </c>
      <c r="C95" s="41"/>
      <c r="D95" s="117"/>
      <c r="E95" s="117"/>
      <c r="F95" s="43"/>
      <c r="G95" s="43"/>
      <c r="H95" s="43"/>
      <c r="I95" s="43"/>
      <c r="J95" s="43"/>
      <c r="K95" s="118"/>
      <c r="L95" s="103"/>
      <c r="M95" s="105"/>
    </row>
    <row r="96" spans="1:13" s="4" customFormat="1" hidden="1" x14ac:dyDescent="0.2">
      <c r="A96" s="689">
        <v>86</v>
      </c>
      <c r="B96" s="116" t="s">
        <v>155</v>
      </c>
      <c r="C96" s="41"/>
      <c r="D96" s="117"/>
      <c r="E96" s="117"/>
      <c r="F96" s="43"/>
      <c r="G96" s="43"/>
      <c r="H96" s="43"/>
      <c r="I96" s="43"/>
      <c r="J96" s="43"/>
      <c r="K96" s="118"/>
      <c r="L96" s="103"/>
      <c r="M96" s="105"/>
    </row>
    <row r="97" spans="1:13" s="4" customFormat="1" hidden="1" x14ac:dyDescent="0.2">
      <c r="A97" s="689">
        <v>87</v>
      </c>
      <c r="B97" s="116" t="s">
        <v>156</v>
      </c>
      <c r="C97" s="41"/>
      <c r="D97" s="117"/>
      <c r="E97" s="117"/>
      <c r="F97" s="43"/>
      <c r="G97" s="43"/>
      <c r="H97" s="43"/>
      <c r="I97" s="43"/>
      <c r="J97" s="43"/>
      <c r="K97" s="118"/>
      <c r="L97" s="103"/>
      <c r="M97" s="105"/>
    </row>
    <row r="98" spans="1:13" s="4" customFormat="1" hidden="1" x14ac:dyDescent="0.2">
      <c r="A98" s="689">
        <v>88</v>
      </c>
      <c r="B98" s="119" t="s">
        <v>157</v>
      </c>
      <c r="C98" s="41"/>
      <c r="D98" s="117"/>
      <c r="E98" s="117"/>
      <c r="F98" s="43"/>
      <c r="G98" s="43"/>
      <c r="H98" s="43"/>
      <c r="I98" s="43"/>
      <c r="J98" s="43"/>
      <c r="K98" s="118"/>
      <c r="L98" s="103"/>
      <c r="M98" s="105"/>
    </row>
    <row r="99" spans="1:13" s="4" customFormat="1" hidden="1" x14ac:dyDescent="0.2">
      <c r="A99" s="689">
        <v>89</v>
      </c>
      <c r="B99" s="120" t="s">
        <v>158</v>
      </c>
      <c r="C99" s="41"/>
      <c r="D99" s="117"/>
      <c r="E99" s="117"/>
      <c r="F99" s="43"/>
      <c r="G99" s="43"/>
      <c r="H99" s="43"/>
      <c r="I99" s="43"/>
      <c r="J99" s="43"/>
      <c r="K99" s="118"/>
      <c r="L99" s="103"/>
      <c r="M99" s="105"/>
    </row>
    <row r="100" spans="1:13" s="4" customFormat="1" hidden="1" x14ac:dyDescent="0.2">
      <c r="A100" s="689">
        <v>90</v>
      </c>
      <c r="B100" s="121" t="s">
        <v>159</v>
      </c>
      <c r="C100" s="41"/>
      <c r="D100" s="117"/>
      <c r="E100" s="117"/>
      <c r="F100" s="43"/>
      <c r="G100" s="43"/>
      <c r="H100" s="43"/>
      <c r="I100" s="43"/>
      <c r="J100" s="43"/>
      <c r="K100" s="118"/>
      <c r="L100" s="103"/>
      <c r="M100" s="105"/>
    </row>
    <row r="101" spans="1:13" s="4" customFormat="1" hidden="1" x14ac:dyDescent="0.2">
      <c r="A101" s="689">
        <v>91</v>
      </c>
      <c r="B101" s="122" t="s">
        <v>160</v>
      </c>
      <c r="C101" s="41"/>
      <c r="D101" s="117"/>
      <c r="E101" s="117"/>
      <c r="F101" s="43"/>
      <c r="G101" s="43"/>
      <c r="H101" s="43"/>
      <c r="I101" s="43"/>
      <c r="J101" s="43"/>
      <c r="K101" s="118"/>
      <c r="L101" s="103"/>
      <c r="M101" s="105"/>
    </row>
    <row r="102" spans="1:13" s="4" customFormat="1" hidden="1" x14ac:dyDescent="0.2">
      <c r="A102" s="689">
        <v>92</v>
      </c>
      <c r="B102" s="122" t="s">
        <v>161</v>
      </c>
      <c r="C102" s="41"/>
      <c r="D102" s="117"/>
      <c r="E102" s="117"/>
      <c r="F102" s="43"/>
      <c r="G102" s="43"/>
      <c r="H102" s="43"/>
      <c r="I102" s="43"/>
      <c r="J102" s="43"/>
      <c r="K102" s="104"/>
      <c r="L102" s="103"/>
      <c r="M102" s="105"/>
    </row>
    <row r="103" spans="1:13" s="4" customFormat="1" hidden="1" x14ac:dyDescent="0.2">
      <c r="A103" s="689">
        <v>93</v>
      </c>
      <c r="B103" s="4" t="s">
        <v>162</v>
      </c>
      <c r="C103" s="41"/>
      <c r="D103" s="117"/>
      <c r="E103" s="117"/>
      <c r="F103" s="43"/>
      <c r="G103" s="43"/>
      <c r="H103" s="43"/>
      <c r="I103" s="43"/>
      <c r="J103" s="43"/>
      <c r="K103" s="104"/>
      <c r="L103" s="103"/>
      <c r="M103" s="105"/>
    </row>
    <row r="104" spans="1:13" s="4" customFormat="1" hidden="1" x14ac:dyDescent="0.2">
      <c r="A104" s="689">
        <v>94</v>
      </c>
      <c r="B104" s="122" t="s">
        <v>163</v>
      </c>
      <c r="C104" s="41"/>
      <c r="D104" s="117"/>
      <c r="E104" s="117"/>
      <c r="F104" s="43"/>
      <c r="G104" s="43"/>
      <c r="H104" s="43"/>
      <c r="I104" s="43"/>
      <c r="J104" s="43"/>
      <c r="K104" s="104"/>
      <c r="L104" s="103"/>
      <c r="M104" s="105"/>
    </row>
    <row r="105" spans="1:13" s="4" customFormat="1" hidden="1" x14ac:dyDescent="0.2">
      <c r="A105" s="689">
        <v>95</v>
      </c>
      <c r="B105" s="122" t="s">
        <v>164</v>
      </c>
      <c r="C105" s="41"/>
      <c r="D105" s="117"/>
      <c r="E105" s="117"/>
      <c r="F105" s="43"/>
      <c r="G105" s="43"/>
      <c r="H105" s="43"/>
      <c r="I105" s="43"/>
      <c r="J105" s="43"/>
      <c r="K105" s="104"/>
      <c r="L105" s="103"/>
      <c r="M105" s="105"/>
    </row>
    <row r="106" spans="1:13" s="4" customFormat="1" hidden="1" x14ac:dyDescent="0.2">
      <c r="A106" s="689">
        <v>96</v>
      </c>
      <c r="B106" s="122"/>
      <c r="C106" s="41"/>
      <c r="D106" s="117"/>
      <c r="E106" s="117"/>
      <c r="F106" s="43"/>
      <c r="G106" s="43"/>
      <c r="H106" s="43"/>
      <c r="I106" s="43"/>
      <c r="J106" s="43"/>
      <c r="K106" s="104"/>
      <c r="L106" s="103"/>
      <c r="M106" s="105"/>
    </row>
    <row r="107" spans="1:13" s="4" customFormat="1" hidden="1" x14ac:dyDescent="0.2">
      <c r="A107" s="689">
        <v>97</v>
      </c>
      <c r="B107" s="123" t="s">
        <v>165</v>
      </c>
      <c r="C107" s="56" t="s">
        <v>166</v>
      </c>
      <c r="D107" s="114"/>
      <c r="E107" s="114"/>
      <c r="F107" s="43">
        <f>F108+F109+F110</f>
        <v>0</v>
      </c>
      <c r="G107" s="43">
        <f>G108+G109+G110</f>
        <v>0</v>
      </c>
      <c r="H107" s="43">
        <f>H108+H109+H110</f>
        <v>0</v>
      </c>
      <c r="I107" s="43">
        <f>I108+I109+I110</f>
        <v>0</v>
      </c>
      <c r="J107" s="43">
        <f>J108+J109+J110</f>
        <v>0</v>
      </c>
      <c r="K107" s="104"/>
      <c r="L107" s="103"/>
      <c r="M107" s="105"/>
    </row>
    <row r="108" spans="1:13" s="4" customFormat="1" hidden="1" x14ac:dyDescent="0.2">
      <c r="A108" s="689">
        <v>98</v>
      </c>
      <c r="B108" s="124" t="s">
        <v>167</v>
      </c>
      <c r="C108" s="41"/>
      <c r="D108" s="117"/>
      <c r="E108" s="117"/>
      <c r="F108" s="43"/>
      <c r="G108" s="43"/>
      <c r="H108" s="43"/>
      <c r="I108" s="43"/>
      <c r="J108" s="43"/>
      <c r="K108" s="118"/>
      <c r="L108" s="103"/>
      <c r="M108" s="105"/>
    </row>
    <row r="109" spans="1:13" s="4" customFormat="1" hidden="1" x14ac:dyDescent="0.2">
      <c r="A109" s="689">
        <v>99</v>
      </c>
      <c r="B109" s="125" t="s">
        <v>168</v>
      </c>
      <c r="C109" s="41"/>
      <c r="D109" s="117"/>
      <c r="E109" s="117"/>
      <c r="F109" s="43"/>
      <c r="G109" s="43"/>
      <c r="H109" s="43"/>
      <c r="I109" s="43"/>
      <c r="J109" s="43"/>
      <c r="K109" s="118"/>
      <c r="L109" s="103"/>
      <c r="M109" s="105"/>
    </row>
    <row r="110" spans="1:13" s="4" customFormat="1" hidden="1" x14ac:dyDescent="0.2">
      <c r="A110" s="689">
        <v>100</v>
      </c>
      <c r="B110" s="116" t="s">
        <v>169</v>
      </c>
      <c r="C110" s="41"/>
      <c r="D110" s="117"/>
      <c r="E110" s="117"/>
      <c r="F110" s="43"/>
      <c r="G110" s="43"/>
      <c r="H110" s="43"/>
      <c r="I110" s="43"/>
      <c r="J110" s="43"/>
      <c r="K110" s="118"/>
      <c r="L110" s="103"/>
      <c r="M110" s="105"/>
    </row>
    <row r="111" spans="1:13" s="4" customFormat="1" hidden="1" x14ac:dyDescent="0.2">
      <c r="A111" s="689">
        <v>101</v>
      </c>
      <c r="B111" s="116" t="s">
        <v>170</v>
      </c>
      <c r="C111" s="41"/>
      <c r="D111" s="117"/>
      <c r="E111" s="117"/>
      <c r="F111" s="43"/>
      <c r="G111" s="43"/>
      <c r="H111" s="43"/>
      <c r="I111" s="43"/>
      <c r="J111" s="43"/>
      <c r="K111" s="104"/>
      <c r="L111" s="103"/>
      <c r="M111" s="105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43">
        <f>F117</f>
        <v>0</v>
      </c>
      <c r="G112" s="43">
        <f>G117</f>
        <v>0</v>
      </c>
      <c r="H112" s="43">
        <f>H117</f>
        <v>0</v>
      </c>
      <c r="I112" s="43">
        <f>I117</f>
        <v>0</v>
      </c>
      <c r="J112" s="43">
        <f>J117</f>
        <v>0</v>
      </c>
      <c r="K112" s="104"/>
      <c r="L112" s="103"/>
      <c r="M112" s="105"/>
    </row>
    <row r="113" spans="1:13" s="4" customFormat="1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43"/>
      <c r="G113" s="43"/>
      <c r="H113" s="43"/>
      <c r="I113" s="43"/>
      <c r="J113" s="43"/>
      <c r="K113" s="118"/>
      <c r="L113" s="103"/>
      <c r="M113" s="105"/>
    </row>
    <row r="114" spans="1:13" s="4" customFormat="1" hidden="1" x14ac:dyDescent="0.2">
      <c r="A114" s="689">
        <v>104</v>
      </c>
      <c r="B114" s="73" t="s">
        <v>174</v>
      </c>
      <c r="C114" s="56"/>
      <c r="D114" s="114"/>
      <c r="E114" s="114"/>
      <c r="F114" s="43"/>
      <c r="G114" s="43"/>
      <c r="H114" s="43"/>
      <c r="I114" s="43"/>
      <c r="J114" s="43"/>
      <c r="K114" s="118"/>
      <c r="L114" s="103"/>
      <c r="M114" s="105"/>
    </row>
    <row r="115" spans="1:13" s="4" customFormat="1" hidden="1" x14ac:dyDescent="0.2">
      <c r="A115" s="689">
        <v>105</v>
      </c>
      <c r="B115" s="73" t="s">
        <v>175</v>
      </c>
      <c r="C115" s="56"/>
      <c r="D115" s="114"/>
      <c r="E115" s="114"/>
      <c r="F115" s="43"/>
      <c r="G115" s="43"/>
      <c r="H115" s="43"/>
      <c r="I115" s="43"/>
      <c r="J115" s="43"/>
      <c r="K115" s="118"/>
      <c r="L115" s="103"/>
      <c r="M115" s="105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43"/>
      <c r="G116" s="43"/>
      <c r="H116" s="43"/>
      <c r="I116" s="43"/>
      <c r="J116" s="43"/>
      <c r="K116" s="118"/>
      <c r="L116" s="103"/>
      <c r="M116" s="105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129"/>
      <c r="E117" s="129"/>
      <c r="F117" s="130">
        <f>G117+H117+I117+J117</f>
        <v>0</v>
      </c>
      <c r="G117" s="130"/>
      <c r="H117" s="130"/>
      <c r="I117" s="130"/>
      <c r="J117" s="130"/>
      <c r="K117" s="131"/>
      <c r="L117" s="132"/>
      <c r="M117" s="133"/>
    </row>
    <row r="118" spans="1:13" s="135" customFormat="1" hidden="1" x14ac:dyDescent="0.2">
      <c r="A118" s="689">
        <v>108</v>
      </c>
      <c r="B118" s="24" t="s">
        <v>180</v>
      </c>
      <c r="C118" s="25"/>
      <c r="D118" s="134"/>
      <c r="E118" s="134"/>
      <c r="F118" s="37">
        <f>F132</f>
        <v>0</v>
      </c>
      <c r="G118" s="37">
        <f>G132</f>
        <v>0</v>
      </c>
      <c r="H118" s="37">
        <f>H132</f>
        <v>0</v>
      </c>
      <c r="I118" s="37">
        <f>I132</f>
        <v>0</v>
      </c>
      <c r="J118" s="37">
        <f>J132</f>
        <v>0</v>
      </c>
      <c r="K118" s="98"/>
      <c r="L118" s="97"/>
      <c r="M118" s="99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43"/>
      <c r="G119" s="43"/>
      <c r="H119" s="43"/>
      <c r="I119" s="43"/>
      <c r="J119" s="43"/>
      <c r="K119" s="118"/>
      <c r="L119" s="103"/>
      <c r="M119" s="105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43"/>
      <c r="G120" s="43"/>
      <c r="H120" s="43"/>
      <c r="I120" s="43"/>
      <c r="J120" s="43"/>
      <c r="K120" s="118"/>
      <c r="L120" s="103"/>
      <c r="M120" s="105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43"/>
      <c r="G121" s="43"/>
      <c r="H121" s="43"/>
      <c r="I121" s="43"/>
      <c r="J121" s="43"/>
      <c r="K121" s="118"/>
      <c r="L121" s="103"/>
      <c r="M121" s="105"/>
    </row>
    <row r="122" spans="1:13" s="139" customFormat="1" hidden="1" x14ac:dyDescent="0.2">
      <c r="A122" s="689">
        <v>112</v>
      </c>
      <c r="B122" s="138" t="s">
        <v>187</v>
      </c>
      <c r="C122" s="56" t="s">
        <v>188</v>
      </c>
      <c r="D122" s="117"/>
      <c r="E122" s="117"/>
      <c r="F122" s="43"/>
      <c r="G122" s="43"/>
      <c r="H122" s="43"/>
      <c r="I122" s="43"/>
      <c r="J122" s="43"/>
      <c r="K122" s="104"/>
      <c r="L122" s="103"/>
      <c r="M122" s="105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117"/>
      <c r="E123" s="117"/>
      <c r="F123" s="43"/>
      <c r="G123" s="43"/>
      <c r="H123" s="43"/>
      <c r="I123" s="43"/>
      <c r="J123" s="43"/>
      <c r="K123" s="104"/>
      <c r="L123" s="103"/>
      <c r="M123" s="105"/>
    </row>
    <row r="124" spans="1:13" s="139" customFormat="1" hidden="1" x14ac:dyDescent="0.2">
      <c r="A124" s="689">
        <v>114</v>
      </c>
      <c r="B124" s="138" t="s">
        <v>191</v>
      </c>
      <c r="C124" s="41" t="s">
        <v>192</v>
      </c>
      <c r="D124" s="117"/>
      <c r="E124" s="117"/>
      <c r="F124" s="43"/>
      <c r="G124" s="43"/>
      <c r="H124" s="43"/>
      <c r="I124" s="43"/>
      <c r="J124" s="43"/>
      <c r="K124" s="104"/>
      <c r="L124" s="103"/>
      <c r="M124" s="105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117"/>
      <c r="E125" s="117"/>
      <c r="F125" s="43"/>
      <c r="G125" s="43"/>
      <c r="H125" s="43"/>
      <c r="I125" s="43"/>
      <c r="J125" s="43"/>
      <c r="K125" s="104"/>
      <c r="L125" s="103"/>
      <c r="M125" s="105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117"/>
      <c r="E126" s="117"/>
      <c r="F126" s="43"/>
      <c r="G126" s="43"/>
      <c r="H126" s="43"/>
      <c r="I126" s="43"/>
      <c r="J126" s="43"/>
      <c r="K126" s="104"/>
      <c r="L126" s="103"/>
      <c r="M126" s="105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117"/>
      <c r="E127" s="117"/>
      <c r="F127" s="43"/>
      <c r="G127" s="43"/>
      <c r="H127" s="43"/>
      <c r="I127" s="43"/>
      <c r="J127" s="43"/>
      <c r="K127" s="104"/>
      <c r="L127" s="103"/>
      <c r="M127" s="105"/>
    </row>
    <row r="128" spans="1:13" s="139" customFormat="1" hidden="1" x14ac:dyDescent="0.2">
      <c r="A128" s="689">
        <v>118</v>
      </c>
      <c r="B128" s="138" t="s">
        <v>198</v>
      </c>
      <c r="C128" s="56" t="s">
        <v>199</v>
      </c>
      <c r="D128" s="117"/>
      <c r="E128" s="117"/>
      <c r="F128" s="43"/>
      <c r="G128" s="43"/>
      <c r="H128" s="43"/>
      <c r="I128" s="43"/>
      <c r="J128" s="43"/>
      <c r="K128" s="104"/>
      <c r="L128" s="103"/>
      <c r="M128" s="105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117"/>
      <c r="E129" s="117"/>
      <c r="F129" s="43"/>
      <c r="G129" s="43"/>
      <c r="H129" s="43"/>
      <c r="I129" s="43"/>
      <c r="J129" s="43"/>
      <c r="K129" s="104"/>
      <c r="L129" s="103"/>
      <c r="M129" s="105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117"/>
      <c r="E130" s="117"/>
      <c r="F130" s="43"/>
      <c r="G130" s="43"/>
      <c r="H130" s="43"/>
      <c r="I130" s="43"/>
      <c r="J130" s="43"/>
      <c r="K130" s="104"/>
      <c r="L130" s="103"/>
      <c r="M130" s="105"/>
    </row>
    <row r="131" spans="1:15" s="139" customFormat="1" hidden="1" x14ac:dyDescent="0.2">
      <c r="A131" s="689">
        <v>121</v>
      </c>
      <c r="B131" s="138" t="s">
        <v>204</v>
      </c>
      <c r="C131" s="41" t="s">
        <v>205</v>
      </c>
      <c r="D131" s="117"/>
      <c r="E131" s="117"/>
      <c r="F131" s="43"/>
      <c r="G131" s="43"/>
      <c r="H131" s="43"/>
      <c r="I131" s="43"/>
      <c r="J131" s="43"/>
      <c r="K131" s="104"/>
      <c r="L131" s="103"/>
      <c r="M131" s="105"/>
    </row>
    <row r="132" spans="1:15" s="4" customFormat="1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43">
        <f t="shared" ref="F132:J133" si="8">F133</f>
        <v>0</v>
      </c>
      <c r="G132" s="43">
        <f t="shared" si="8"/>
        <v>0</v>
      </c>
      <c r="H132" s="43">
        <f t="shared" si="8"/>
        <v>0</v>
      </c>
      <c r="I132" s="43">
        <f t="shared" si="8"/>
        <v>0</v>
      </c>
      <c r="J132" s="43">
        <f t="shared" si="8"/>
        <v>0</v>
      </c>
      <c r="K132" s="104"/>
      <c r="L132" s="103"/>
      <c r="M132" s="105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43">
        <f t="shared" si="8"/>
        <v>0</v>
      </c>
      <c r="G133" s="43">
        <f t="shared" si="8"/>
        <v>0</v>
      </c>
      <c r="H133" s="43">
        <f t="shared" si="8"/>
        <v>0</v>
      </c>
      <c r="I133" s="43">
        <f t="shared" si="8"/>
        <v>0</v>
      </c>
      <c r="J133" s="43">
        <f t="shared" si="8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43">
        <f>F135+F136+F138+F139</f>
        <v>0</v>
      </c>
      <c r="G134" s="43">
        <f>G135+G136+G138+G139</f>
        <v>0</v>
      </c>
      <c r="H134" s="43">
        <f>H135+H136+H138+H139</f>
        <v>0</v>
      </c>
      <c r="I134" s="43">
        <f>I135+I136+I138+I139</f>
        <v>0</v>
      </c>
      <c r="J134" s="4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43"/>
      <c r="G135" s="43"/>
      <c r="H135" s="43"/>
      <c r="I135" s="43"/>
      <c r="J135" s="4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43"/>
      <c r="G136" s="43"/>
      <c r="H136" s="43"/>
      <c r="I136" s="43"/>
      <c r="J136" s="4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43"/>
      <c r="G137" s="43"/>
      <c r="H137" s="43"/>
      <c r="I137" s="43"/>
      <c r="J137" s="4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43"/>
      <c r="G138" s="43"/>
      <c r="H138" s="43"/>
      <c r="I138" s="43"/>
      <c r="J138" s="4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6"/>
      <c r="F139" s="271"/>
      <c r="G139" s="272"/>
      <c r="H139" s="272"/>
      <c r="I139" s="272"/>
      <c r="J139" s="272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132" t="s">
        <v>388</v>
      </c>
      <c r="K143" s="1132"/>
      <c r="L143" s="1132"/>
      <c r="M143" s="1132"/>
      <c r="N143" s="156"/>
      <c r="O143" s="6"/>
    </row>
    <row r="144" spans="1:15" ht="12.75" customHeight="1" x14ac:dyDescent="0.2">
      <c r="J144" s="152" t="s">
        <v>389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32"/>
      <c r="J146" s="1132"/>
      <c r="K146" s="1132"/>
      <c r="L146" s="1132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E9:E10"/>
    <mergeCell ref="F9:F10"/>
    <mergeCell ref="G9:J9"/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</mergeCells>
  <pageMargins left="0.7" right="0.7" top="0.75" bottom="0.75" header="0.51180555555555551" footer="0.51180555555555551"/>
  <pageSetup paperSize="9" scale="67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2AE5-E879-41AA-A09A-0CAE32AA6EA0}">
  <sheetPr>
    <pageSetUpPr fitToPage="1"/>
  </sheetPr>
  <dimension ref="A1:P169"/>
  <sheetViews>
    <sheetView workbookViewId="0">
      <selection activeCell="C142" sqref="C142:F143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140625" style="1" customWidth="1"/>
    <col min="5" max="5" width="8.7109375" style="1" hidden="1" customWidth="1"/>
    <col min="6" max="6" width="10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B6" s="1119" t="s">
        <v>243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4" x14ac:dyDescent="0.2">
      <c r="B7" s="8"/>
      <c r="C7" s="245" t="s">
        <v>248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379</v>
      </c>
      <c r="E9" s="1125"/>
      <c r="F9" s="1127" t="s">
        <v>380</v>
      </c>
      <c r="G9" s="1129" t="s">
        <v>12</v>
      </c>
      <c r="H9" s="1129"/>
      <c r="I9" s="1129"/>
      <c r="J9" s="1129"/>
      <c r="K9" s="1130" t="s">
        <v>13</v>
      </c>
      <c r="L9" s="1130"/>
      <c r="M9" s="1131"/>
    </row>
    <row r="10" spans="1:14" s="4" customFormat="1" ht="48" customHeight="1" thickBot="1" x14ac:dyDescent="0.25">
      <c r="A10" s="1135"/>
      <c r="B10" s="1137"/>
      <c r="C10" s="1124"/>
      <c r="D10" s="1126"/>
      <c r="E10" s="1126"/>
      <c r="F10" s="1128"/>
      <c r="G10" s="967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19">
        <f>D12</f>
        <v>0</v>
      </c>
      <c r="E11" s="19">
        <f>E12</f>
        <v>0</v>
      </c>
      <c r="F11" s="375">
        <f>F12+F118</f>
        <v>329</v>
      </c>
      <c r="G11" s="375">
        <f>G12+G118</f>
        <v>113</v>
      </c>
      <c r="H11" s="375">
        <f>H12+H118</f>
        <v>84</v>
      </c>
      <c r="I11" s="375">
        <f>I12+I118</f>
        <v>67</v>
      </c>
      <c r="J11" s="375">
        <f>J12+J118</f>
        <v>65</v>
      </c>
      <c r="K11" s="21">
        <f t="shared" ref="K11:M12" si="0">K12</f>
        <v>308.46799999999996</v>
      </c>
      <c r="L11" s="22">
        <f t="shared" si="0"/>
        <v>305.63</v>
      </c>
      <c r="M11" s="774">
        <f t="shared" si="0"/>
        <v>309.06500000000005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376">
        <f>F13</f>
        <v>329</v>
      </c>
      <c r="G12" s="376">
        <f>G13</f>
        <v>113</v>
      </c>
      <c r="H12" s="376">
        <f>H13</f>
        <v>84</v>
      </c>
      <c r="I12" s="376">
        <f>I13</f>
        <v>67</v>
      </c>
      <c r="J12" s="313">
        <f>J13</f>
        <v>65</v>
      </c>
      <c r="K12" s="28">
        <f t="shared" si="0"/>
        <v>308.46799999999996</v>
      </c>
      <c r="L12" s="29">
        <f t="shared" si="0"/>
        <v>305.63</v>
      </c>
      <c r="M12" s="776">
        <f t="shared" si="0"/>
        <v>309.06500000000005</v>
      </c>
    </row>
    <row r="13" spans="1:14" s="4" customFormat="1" x14ac:dyDescent="0.2">
      <c r="A13" s="689">
        <v>3</v>
      </c>
      <c r="B13" s="157" t="s">
        <v>21</v>
      </c>
      <c r="C13" s="75" t="s">
        <v>22</v>
      </c>
      <c r="D13" s="158">
        <f>D14+D34</f>
        <v>0</v>
      </c>
      <c r="E13" s="158">
        <f>E14+E34+E92</f>
        <v>0</v>
      </c>
      <c r="F13" s="364">
        <f>F14+F34+F92+F112</f>
        <v>329</v>
      </c>
      <c r="G13" s="364">
        <f>G14+G34+G92+G112</f>
        <v>113</v>
      </c>
      <c r="H13" s="364">
        <f>H14+H34+H92+H112</f>
        <v>84</v>
      </c>
      <c r="I13" s="364">
        <f>I14+I34+I92+I112</f>
        <v>67</v>
      </c>
      <c r="J13" s="364">
        <f>J14+J34+J92+J112</f>
        <v>65</v>
      </c>
      <c r="K13" s="57">
        <f>K14+K34</f>
        <v>308.46799999999996</v>
      </c>
      <c r="L13" s="57">
        <f>L14+L34</f>
        <v>305.63</v>
      </c>
      <c r="M13" s="881">
        <f>M14+M34</f>
        <v>309.06500000000005</v>
      </c>
    </row>
    <row r="14" spans="1:14" s="4" customFormat="1" x14ac:dyDescent="0.2">
      <c r="A14" s="689">
        <v>4</v>
      </c>
      <c r="B14" s="160" t="s">
        <v>23</v>
      </c>
      <c r="C14" s="161" t="s">
        <v>24</v>
      </c>
      <c r="D14" s="162">
        <f>D15+D26+D23</f>
        <v>0</v>
      </c>
      <c r="E14" s="162">
        <f>E15+E26+E23</f>
        <v>0</v>
      </c>
      <c r="F14" s="812">
        <f>F15+F26+F23</f>
        <v>153</v>
      </c>
      <c r="G14" s="364">
        <f>G15+G23+G26</f>
        <v>37</v>
      </c>
      <c r="H14" s="364">
        <f>H15+H23+H26</f>
        <v>40</v>
      </c>
      <c r="I14" s="364">
        <f>I15+I23+I26</f>
        <v>38</v>
      </c>
      <c r="J14" s="364">
        <f>J15+J23+J26</f>
        <v>38</v>
      </c>
      <c r="K14" s="57">
        <f>F14*85.2%</f>
        <v>130.35599999999999</v>
      </c>
      <c r="L14" s="43">
        <f>F14*83%</f>
        <v>126.99</v>
      </c>
      <c r="M14" s="771">
        <f>F14*84.9%</f>
        <v>129.89700000000002</v>
      </c>
    </row>
    <row r="15" spans="1:14" s="4" customFormat="1" x14ac:dyDescent="0.2">
      <c r="A15" s="689">
        <v>5</v>
      </c>
      <c r="B15" s="55" t="s">
        <v>25</v>
      </c>
      <c r="C15" s="161" t="s">
        <v>26</v>
      </c>
      <c r="D15" s="162">
        <f>D16+D17+D21</f>
        <v>0</v>
      </c>
      <c r="E15" s="162">
        <f>E16+E17+E21</f>
        <v>0</v>
      </c>
      <c r="F15" s="364">
        <f>F16+F17+F18+F19+F20+F21</f>
        <v>147</v>
      </c>
      <c r="G15" s="364">
        <f>G16+G17+G18+G19+G20+G21</f>
        <v>36</v>
      </c>
      <c r="H15" s="364">
        <f>H16+H17+H18+H19+H20+H21</f>
        <v>37</v>
      </c>
      <c r="I15" s="364">
        <f>I16+I17+I18+I19+I20+I21</f>
        <v>37</v>
      </c>
      <c r="J15" s="364">
        <f>J16+J17+J18+J19+J20+J21</f>
        <v>37</v>
      </c>
      <c r="K15" s="57"/>
      <c r="L15" s="43"/>
      <c r="M15" s="771"/>
    </row>
    <row r="16" spans="1:14" s="4" customFormat="1" x14ac:dyDescent="0.2">
      <c r="A16" s="689">
        <v>6</v>
      </c>
      <c r="B16" s="40" t="s">
        <v>27</v>
      </c>
      <c r="C16" s="41" t="s">
        <v>28</v>
      </c>
      <c r="D16" s="164">
        <v>0</v>
      </c>
      <c r="E16" s="164">
        <v>0</v>
      </c>
      <c r="F16" s="365">
        <f t="shared" ref="F16:F21" si="1">G16+H16+I16+J16</f>
        <v>129</v>
      </c>
      <c r="G16" s="365">
        <v>32</v>
      </c>
      <c r="H16" s="365">
        <v>32</v>
      </c>
      <c r="I16" s="365">
        <v>32</v>
      </c>
      <c r="J16" s="365">
        <v>33</v>
      </c>
      <c r="K16" s="45"/>
      <c r="L16" s="44"/>
      <c r="M16" s="711"/>
    </row>
    <row r="17" spans="1:16" s="4" customFormat="1" x14ac:dyDescent="0.2">
      <c r="A17" s="689">
        <v>7</v>
      </c>
      <c r="B17" s="40" t="s">
        <v>29</v>
      </c>
      <c r="C17" s="41" t="s">
        <v>30</v>
      </c>
      <c r="D17" s="164">
        <v>0</v>
      </c>
      <c r="E17" s="164">
        <v>0</v>
      </c>
      <c r="F17" s="365">
        <f t="shared" si="1"/>
        <v>10</v>
      </c>
      <c r="G17" s="365">
        <v>2</v>
      </c>
      <c r="H17" s="365">
        <v>3</v>
      </c>
      <c r="I17" s="365">
        <v>3</v>
      </c>
      <c r="J17" s="365">
        <f>3-1</f>
        <v>2</v>
      </c>
      <c r="K17" s="45"/>
      <c r="L17" s="44"/>
      <c r="M17" s="711"/>
      <c r="P17" s="48"/>
    </row>
    <row r="18" spans="1:16" s="4" customFormat="1" hidden="1" x14ac:dyDescent="0.2">
      <c r="A18" s="689">
        <v>8</v>
      </c>
      <c r="B18" s="40" t="s">
        <v>31</v>
      </c>
      <c r="C18" s="41" t="s">
        <v>32</v>
      </c>
      <c r="D18" s="164"/>
      <c r="E18" s="164"/>
      <c r="F18" s="365">
        <f t="shared" si="1"/>
        <v>0</v>
      </c>
      <c r="G18" s="365"/>
      <c r="H18" s="365"/>
      <c r="I18" s="365">
        <v>0</v>
      </c>
      <c r="J18" s="365"/>
      <c r="K18" s="45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78" t="s">
        <v>34</v>
      </c>
      <c r="D19" s="779"/>
      <c r="E19" s="779"/>
      <c r="F19" s="365">
        <f t="shared" si="1"/>
        <v>0</v>
      </c>
      <c r="G19" s="365"/>
      <c r="H19" s="365"/>
      <c r="I19" s="365"/>
      <c r="J19" s="365"/>
      <c r="K19" s="45"/>
      <c r="L19" s="44"/>
      <c r="M19" s="711"/>
      <c r="P19" s="48"/>
    </row>
    <row r="20" spans="1:16" s="4" customFormat="1" hidden="1" x14ac:dyDescent="0.2">
      <c r="A20" s="689">
        <v>10</v>
      </c>
      <c r="B20" s="40" t="s">
        <v>35</v>
      </c>
      <c r="C20" s="41" t="s">
        <v>36</v>
      </c>
      <c r="D20" s="164"/>
      <c r="E20" s="164"/>
      <c r="F20" s="365">
        <f t="shared" si="1"/>
        <v>0</v>
      </c>
      <c r="G20" s="365"/>
      <c r="H20" s="365"/>
      <c r="I20" s="365"/>
      <c r="J20" s="365"/>
      <c r="K20" s="45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164">
        <v>0</v>
      </c>
      <c r="E21" s="164">
        <v>0</v>
      </c>
      <c r="F21" s="365">
        <f t="shared" si="1"/>
        <v>8</v>
      </c>
      <c r="G21" s="365">
        <v>2</v>
      </c>
      <c r="H21" s="365">
        <v>2</v>
      </c>
      <c r="I21" s="365">
        <v>2</v>
      </c>
      <c r="J21" s="365">
        <v>2</v>
      </c>
      <c r="K21" s="45"/>
      <c r="L21" s="44"/>
      <c r="M21" s="711"/>
      <c r="P21" s="48"/>
    </row>
    <row r="22" spans="1:16" s="4" customFormat="1" hidden="1" x14ac:dyDescent="0.2">
      <c r="A22" s="689">
        <v>12</v>
      </c>
      <c r="B22" s="40" t="s">
        <v>39</v>
      </c>
      <c r="C22" s="41" t="s">
        <v>40</v>
      </c>
      <c r="D22" s="164"/>
      <c r="E22" s="164"/>
      <c r="F22" s="365"/>
      <c r="G22" s="365"/>
      <c r="H22" s="365"/>
      <c r="I22" s="365"/>
      <c r="J22" s="365"/>
      <c r="K22" s="45"/>
      <c r="L22" s="44"/>
      <c r="M22" s="711"/>
      <c r="P22" s="48"/>
    </row>
    <row r="23" spans="1:16" s="4" customFormat="1" x14ac:dyDescent="0.2">
      <c r="A23" s="689">
        <v>13</v>
      </c>
      <c r="B23" s="140" t="s">
        <v>41</v>
      </c>
      <c r="C23" s="52" t="s">
        <v>42</v>
      </c>
      <c r="D23" s="158">
        <f t="shared" ref="D23:J23" si="2">D24</f>
        <v>0</v>
      </c>
      <c r="E23" s="158">
        <f t="shared" si="2"/>
        <v>0</v>
      </c>
      <c r="F23" s="666">
        <f t="shared" si="2"/>
        <v>2</v>
      </c>
      <c r="G23" s="365">
        <f t="shared" si="2"/>
        <v>0</v>
      </c>
      <c r="H23" s="365">
        <f t="shared" si="2"/>
        <v>2</v>
      </c>
      <c r="I23" s="365">
        <f t="shared" si="2"/>
        <v>0</v>
      </c>
      <c r="J23" s="365">
        <f t="shared" si="2"/>
        <v>0</v>
      </c>
      <c r="K23" s="45"/>
      <c r="L23" s="44"/>
      <c r="M23" s="711"/>
      <c r="P23" s="48"/>
    </row>
    <row r="24" spans="1:16" s="4" customFormat="1" x14ac:dyDescent="0.2">
      <c r="A24" s="689">
        <v>14</v>
      </c>
      <c r="B24" s="40" t="s">
        <v>43</v>
      </c>
      <c r="C24" s="54" t="s">
        <v>44</v>
      </c>
      <c r="D24" s="164">
        <v>0</v>
      </c>
      <c r="E24" s="164">
        <v>0</v>
      </c>
      <c r="F24" s="365">
        <f>G24+H24+I24+J24</f>
        <v>2</v>
      </c>
      <c r="G24" s="365">
        <v>0</v>
      </c>
      <c r="H24" s="365">
        <v>2</v>
      </c>
      <c r="I24" s="365">
        <v>0</v>
      </c>
      <c r="J24" s="365">
        <v>0</v>
      </c>
      <c r="K24" s="45"/>
      <c r="L24" s="44"/>
      <c r="M24" s="711"/>
      <c r="P24" s="48"/>
    </row>
    <row r="25" spans="1:16" s="4" customFormat="1" hidden="1" x14ac:dyDescent="0.2">
      <c r="A25" s="689">
        <v>15</v>
      </c>
      <c r="B25" s="40" t="s">
        <v>230</v>
      </c>
      <c r="C25" s="54" t="s">
        <v>231</v>
      </c>
      <c r="D25" s="164">
        <v>0</v>
      </c>
      <c r="E25" s="164">
        <v>0</v>
      </c>
      <c r="F25" s="365"/>
      <c r="G25" s="365"/>
      <c r="H25" s="365"/>
      <c r="I25" s="365"/>
      <c r="J25" s="365"/>
      <c r="K25" s="45"/>
      <c r="L25" s="44"/>
      <c r="M25" s="711"/>
      <c r="P25" s="48"/>
    </row>
    <row r="26" spans="1:16" s="4" customFormat="1" x14ac:dyDescent="0.2">
      <c r="A26" s="689">
        <v>16</v>
      </c>
      <c r="B26" s="55" t="s">
        <v>45</v>
      </c>
      <c r="C26" s="56" t="s">
        <v>46</v>
      </c>
      <c r="D26" s="158">
        <f>D32</f>
        <v>0</v>
      </c>
      <c r="E26" s="158">
        <f>E32</f>
        <v>0</v>
      </c>
      <c r="F26" s="364">
        <f>F27+F28+F29+F30+F31+F32+F33</f>
        <v>4</v>
      </c>
      <c r="G26" s="364">
        <f>G27+G28+G29+G30+G31+G32+G33</f>
        <v>1</v>
      </c>
      <c r="H26" s="364">
        <f>H27+H28+H29+H30+H31+H32+H33</f>
        <v>1</v>
      </c>
      <c r="I26" s="364">
        <f>I27+I28+I29+I30+I31+I32+I33</f>
        <v>1</v>
      </c>
      <c r="J26" s="364">
        <f>J27+J28+J29+J30+J31+J32+J33</f>
        <v>1</v>
      </c>
      <c r="K26" s="57"/>
      <c r="L26" s="43"/>
      <c r="M26" s="771"/>
    </row>
    <row r="27" spans="1:16" s="4" customFormat="1" hidden="1" x14ac:dyDescent="0.2">
      <c r="A27" s="689">
        <v>17</v>
      </c>
      <c r="B27" s="59" t="s">
        <v>47</v>
      </c>
      <c r="C27" s="41" t="s">
        <v>48</v>
      </c>
      <c r="D27" s="164"/>
      <c r="E27" s="164"/>
      <c r="F27" s="365">
        <f t="shared" ref="F27:F32" si="3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44"/>
      <c r="M27" s="711"/>
    </row>
    <row r="28" spans="1:16" s="4" customFormat="1" hidden="1" x14ac:dyDescent="0.2">
      <c r="A28" s="689">
        <v>18</v>
      </c>
      <c r="B28" s="59" t="s">
        <v>49</v>
      </c>
      <c r="C28" s="41" t="s">
        <v>50</v>
      </c>
      <c r="D28" s="164"/>
      <c r="E28" s="164"/>
      <c r="F28" s="365">
        <f t="shared" si="3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44"/>
      <c r="M28" s="711"/>
    </row>
    <row r="29" spans="1:16" s="4" customFormat="1" hidden="1" x14ac:dyDescent="0.2">
      <c r="A29" s="689">
        <v>19</v>
      </c>
      <c r="B29" s="59" t="s">
        <v>51</v>
      </c>
      <c r="C29" s="41" t="s">
        <v>52</v>
      </c>
      <c r="D29" s="164"/>
      <c r="E29" s="164"/>
      <c r="F29" s="365">
        <f t="shared" si="3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44"/>
      <c r="M29" s="711"/>
    </row>
    <row r="30" spans="1:16" s="4" customFormat="1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3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44"/>
      <c r="M30" s="711"/>
    </row>
    <row r="31" spans="1:16" s="4" customFormat="1" hidden="1" x14ac:dyDescent="0.2">
      <c r="A31" s="689">
        <v>21</v>
      </c>
      <c r="B31" s="59" t="s">
        <v>55</v>
      </c>
      <c r="C31" s="41" t="s">
        <v>56</v>
      </c>
      <c r="D31" s="164"/>
      <c r="E31" s="164"/>
      <c r="F31" s="365">
        <f t="shared" si="3"/>
        <v>0</v>
      </c>
      <c r="G31" s="365"/>
      <c r="H31" s="365"/>
      <c r="I31" s="365"/>
      <c r="J31" s="365"/>
      <c r="K31" s="45"/>
      <c r="L31" s="44"/>
      <c r="M31" s="711"/>
    </row>
    <row r="32" spans="1:16" s="4" customFormat="1" x14ac:dyDescent="0.2">
      <c r="A32" s="689">
        <v>22</v>
      </c>
      <c r="B32" s="59" t="s">
        <v>57</v>
      </c>
      <c r="C32" s="41" t="s">
        <v>58</v>
      </c>
      <c r="D32" s="164">
        <v>0</v>
      </c>
      <c r="E32" s="164">
        <v>0</v>
      </c>
      <c r="F32" s="365">
        <f t="shared" si="3"/>
        <v>4</v>
      </c>
      <c r="G32" s="365">
        <v>1</v>
      </c>
      <c r="H32" s="365">
        <v>1</v>
      </c>
      <c r="I32" s="365">
        <v>1</v>
      </c>
      <c r="J32" s="365">
        <v>1</v>
      </c>
      <c r="K32" s="45"/>
      <c r="L32" s="44"/>
      <c r="M32" s="711"/>
    </row>
    <row r="33" spans="1:13" s="4" customFormat="1" hidden="1" x14ac:dyDescent="0.2">
      <c r="A33" s="689">
        <v>23</v>
      </c>
      <c r="B33" s="59" t="s">
        <v>59</v>
      </c>
      <c r="C33" s="41" t="s">
        <v>60</v>
      </c>
      <c r="D33" s="164"/>
      <c r="E33" s="164"/>
      <c r="F33" s="365"/>
      <c r="G33" s="365"/>
      <c r="H33" s="365"/>
      <c r="I33" s="365"/>
      <c r="J33" s="365"/>
      <c r="K33" s="45"/>
      <c r="L33" s="44"/>
      <c r="M33" s="711"/>
    </row>
    <row r="34" spans="1:13" s="4" customFormat="1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</f>
        <v>0</v>
      </c>
      <c r="F34" s="364">
        <f>F35+F57+F58+F59+F64+F69+F72+F73+F74+F75+F78</f>
        <v>176</v>
      </c>
      <c r="G34" s="364">
        <f>G35+G57+G58+G59+G64+G69+G72+G73+G74+G75+G78</f>
        <v>76</v>
      </c>
      <c r="H34" s="364">
        <f>H35+H57+H58+H59+H64+H69+H72+H73+H74+H75+H78</f>
        <v>44</v>
      </c>
      <c r="I34" s="364">
        <f>I35+I57+I58+I59+I64+I69+I72+I73+I74+I75+I78</f>
        <v>29</v>
      </c>
      <c r="J34" s="364">
        <f>J35+J57+J58+J59+J64+J69+J72+J73+J74+J75+J78</f>
        <v>27</v>
      </c>
      <c r="K34" s="57">
        <f>F34*101.2%</f>
        <v>178.11199999999999</v>
      </c>
      <c r="L34" s="43">
        <f>F34*101.5%</f>
        <v>178.64</v>
      </c>
      <c r="M34" s="771">
        <f>F34*101.8%</f>
        <v>179.16800000000001</v>
      </c>
    </row>
    <row r="35" spans="1:13" s="4" customFormat="1" x14ac:dyDescent="0.2">
      <c r="A35" s="689">
        <v>25</v>
      </c>
      <c r="B35" s="160" t="s">
        <v>62</v>
      </c>
      <c r="C35" s="56" t="s">
        <v>63</v>
      </c>
      <c r="D35" s="158">
        <f>D36+D40+D43+D44+D47+D50+D53</f>
        <v>0</v>
      </c>
      <c r="E35" s="158">
        <f>E36+E40+E43+E44+E47+E50+E53</f>
        <v>0</v>
      </c>
      <c r="F35" s="364">
        <f>F36+F40+F43+F44+F45+F46+F47+F50+F53</f>
        <v>74</v>
      </c>
      <c r="G35" s="364">
        <f>G36+G40+G43+G44+G45+G46+G47+G50+G53</f>
        <v>38</v>
      </c>
      <c r="H35" s="364">
        <f>H36+H40+H43+H44+H45+H46+H47+H50+H53</f>
        <v>15</v>
      </c>
      <c r="I35" s="364">
        <f>I36+I40+I43+I44+I45+I46+I47+I50+I53</f>
        <v>9</v>
      </c>
      <c r="J35" s="364">
        <f>J36+J40+J43+J44+J45+J46+J47+J50+J53</f>
        <v>12</v>
      </c>
      <c r="K35" s="57"/>
      <c r="L35" s="43"/>
      <c r="M35" s="771"/>
    </row>
    <row r="36" spans="1:13" s="4" customFormat="1" x14ac:dyDescent="0.2">
      <c r="A36" s="689">
        <v>26</v>
      </c>
      <c r="B36" s="55" t="s">
        <v>64</v>
      </c>
      <c r="C36" s="56" t="s">
        <v>65</v>
      </c>
      <c r="D36" s="158">
        <f>D37</f>
        <v>0</v>
      </c>
      <c r="E36" s="158">
        <f>E37</f>
        <v>0</v>
      </c>
      <c r="F36" s="365">
        <f>F37+F38+F39</f>
        <v>1</v>
      </c>
      <c r="G36" s="365">
        <f>G37+G38+G39</f>
        <v>1</v>
      </c>
      <c r="H36" s="365">
        <f>H37+H38+H39</f>
        <v>0</v>
      </c>
      <c r="I36" s="365">
        <f>I37+I38+I39</f>
        <v>0</v>
      </c>
      <c r="J36" s="365">
        <f>J37+J38+J39</f>
        <v>0</v>
      </c>
      <c r="K36" s="45"/>
      <c r="L36" s="44"/>
      <c r="M36" s="711"/>
    </row>
    <row r="37" spans="1:13" s="4" customFormat="1" x14ac:dyDescent="0.2">
      <c r="A37" s="689">
        <v>27</v>
      </c>
      <c r="B37" s="59" t="s">
        <v>64</v>
      </c>
      <c r="C37" s="41"/>
      <c r="D37" s="164">
        <v>0</v>
      </c>
      <c r="E37" s="164">
        <v>0</v>
      </c>
      <c r="F37" s="365">
        <f>G37+H37+I37+J37</f>
        <v>1</v>
      </c>
      <c r="G37" s="365">
        <v>1</v>
      </c>
      <c r="H37" s="365">
        <v>0</v>
      </c>
      <c r="I37" s="365">
        <v>0</v>
      </c>
      <c r="J37" s="365">
        <v>0</v>
      </c>
      <c r="K37" s="45"/>
      <c r="L37" s="44"/>
      <c r="M37" s="711"/>
    </row>
    <row r="38" spans="1:13" s="4" customFormat="1" hidden="1" x14ac:dyDescent="0.2">
      <c r="A38" s="689">
        <v>28</v>
      </c>
      <c r="B38" s="59" t="s">
        <v>66</v>
      </c>
      <c r="C38" s="41"/>
      <c r="D38" s="164"/>
      <c r="E38" s="164"/>
      <c r="F38" s="365"/>
      <c r="G38" s="365"/>
      <c r="H38" s="365"/>
      <c r="I38" s="365"/>
      <c r="J38" s="365"/>
      <c r="K38" s="45"/>
      <c r="L38" s="44"/>
      <c r="M38" s="711"/>
    </row>
    <row r="39" spans="1:13" s="4" customFormat="1" hidden="1" x14ac:dyDescent="0.2">
      <c r="A39" s="689">
        <v>29</v>
      </c>
      <c r="B39" s="59" t="s">
        <v>67</v>
      </c>
      <c r="C39" s="41"/>
      <c r="D39" s="164"/>
      <c r="E39" s="164"/>
      <c r="F39" s="365"/>
      <c r="G39" s="365"/>
      <c r="H39" s="365"/>
      <c r="I39" s="365"/>
      <c r="J39" s="365"/>
      <c r="K39" s="45"/>
      <c r="L39" s="44"/>
      <c r="M39" s="711"/>
    </row>
    <row r="40" spans="1:13" s="4" customFormat="1" x14ac:dyDescent="0.2">
      <c r="A40" s="689">
        <v>30</v>
      </c>
      <c r="B40" s="55" t="s">
        <v>68</v>
      </c>
      <c r="C40" s="56" t="s">
        <v>69</v>
      </c>
      <c r="D40" s="158">
        <f>D41</f>
        <v>0</v>
      </c>
      <c r="E40" s="158">
        <f>E41</f>
        <v>0</v>
      </c>
      <c r="F40" s="365">
        <f>F41+F42</f>
        <v>2</v>
      </c>
      <c r="G40" s="365">
        <f>G41+G42</f>
        <v>2</v>
      </c>
      <c r="H40" s="365">
        <f>H41+H42</f>
        <v>0</v>
      </c>
      <c r="I40" s="365">
        <f>I41+I42</f>
        <v>0</v>
      </c>
      <c r="J40" s="365">
        <f>J41+J42</f>
        <v>0</v>
      </c>
      <c r="K40" s="45"/>
      <c r="L40" s="44"/>
      <c r="M40" s="711"/>
    </row>
    <row r="41" spans="1:13" s="4" customFormat="1" x14ac:dyDescent="0.2">
      <c r="A41" s="689">
        <v>31</v>
      </c>
      <c r="B41" s="59" t="s">
        <v>70</v>
      </c>
      <c r="C41" s="56"/>
      <c r="D41" s="164">
        <v>0</v>
      </c>
      <c r="E41" s="164">
        <v>0</v>
      </c>
      <c r="F41" s="365">
        <f>G41+H41+I41+J41</f>
        <v>2</v>
      </c>
      <c r="G41" s="365">
        <v>2</v>
      </c>
      <c r="H41" s="365">
        <v>0</v>
      </c>
      <c r="I41" s="365">
        <v>0</v>
      </c>
      <c r="J41" s="365">
        <v>0</v>
      </c>
      <c r="K41" s="45"/>
      <c r="L41" s="44"/>
      <c r="M41" s="711"/>
    </row>
    <row r="42" spans="1:13" s="4" customFormat="1" hidden="1" x14ac:dyDescent="0.2">
      <c r="A42" s="689">
        <v>32</v>
      </c>
      <c r="B42" s="59" t="s">
        <v>71</v>
      </c>
      <c r="C42" s="56"/>
      <c r="D42" s="158"/>
      <c r="E42" s="158"/>
      <c r="F42" s="365"/>
      <c r="G42" s="365"/>
      <c r="H42" s="365"/>
      <c r="I42" s="365"/>
      <c r="J42" s="365"/>
      <c r="K42" s="45"/>
      <c r="L42" s="44"/>
      <c r="M42" s="711"/>
    </row>
    <row r="43" spans="1:13" s="4" customFormat="1" x14ac:dyDescent="0.2">
      <c r="A43" s="689">
        <v>33</v>
      </c>
      <c r="B43" s="59" t="s">
        <v>72</v>
      </c>
      <c r="C43" s="41" t="s">
        <v>73</v>
      </c>
      <c r="D43" s="164">
        <v>0</v>
      </c>
      <c r="E43" s="164">
        <v>0</v>
      </c>
      <c r="F43" s="365">
        <f>G43+H43+I43+J43</f>
        <v>40</v>
      </c>
      <c r="G43" s="365">
        <v>20</v>
      </c>
      <c r="H43" s="365">
        <v>5</v>
      </c>
      <c r="I43" s="365">
        <v>5</v>
      </c>
      <c r="J43" s="365">
        <f>20-10</f>
        <v>10</v>
      </c>
      <c r="K43" s="45"/>
      <c r="L43" s="44"/>
      <c r="M43" s="711"/>
    </row>
    <row r="44" spans="1:13" s="4" customFormat="1" x14ac:dyDescent="0.2">
      <c r="A44" s="689">
        <v>34</v>
      </c>
      <c r="B44" s="59" t="s">
        <v>74</v>
      </c>
      <c r="C44" s="41" t="s">
        <v>75</v>
      </c>
      <c r="D44" s="164">
        <v>0</v>
      </c>
      <c r="E44" s="164">
        <v>0</v>
      </c>
      <c r="F44" s="365">
        <f>G44+H44+I44+J44</f>
        <v>16</v>
      </c>
      <c r="G44" s="365">
        <v>7</v>
      </c>
      <c r="H44" s="365">
        <v>5</v>
      </c>
      <c r="I44" s="365">
        <v>3</v>
      </c>
      <c r="J44" s="365">
        <f>3-2</f>
        <v>1</v>
      </c>
      <c r="K44" s="45"/>
      <c r="L44" s="44"/>
      <c r="M44" s="711"/>
    </row>
    <row r="45" spans="1:13" s="4" customFormat="1" hidden="1" x14ac:dyDescent="0.2">
      <c r="A45" s="689">
        <v>35</v>
      </c>
      <c r="B45" s="59" t="s">
        <v>76</v>
      </c>
      <c r="C45" s="41" t="s">
        <v>77</v>
      </c>
      <c r="D45" s="164"/>
      <c r="E45" s="164"/>
      <c r="F45" s="365"/>
      <c r="G45" s="365"/>
      <c r="H45" s="365"/>
      <c r="I45" s="365"/>
      <c r="J45" s="365"/>
      <c r="K45" s="45"/>
      <c r="L45" s="44"/>
      <c r="M45" s="711"/>
    </row>
    <row r="46" spans="1:13" s="4" customFormat="1" hidden="1" x14ac:dyDescent="0.2">
      <c r="A46" s="689">
        <v>36</v>
      </c>
      <c r="B46" s="59" t="s">
        <v>78</v>
      </c>
      <c r="C46" s="41" t="s">
        <v>79</v>
      </c>
      <c r="D46" s="164"/>
      <c r="E46" s="164"/>
      <c r="F46" s="365"/>
      <c r="G46" s="365"/>
      <c r="H46" s="365"/>
      <c r="I46" s="365"/>
      <c r="J46" s="365"/>
      <c r="K46" s="45"/>
      <c r="L46" s="44"/>
      <c r="M46" s="711"/>
    </row>
    <row r="47" spans="1:13" s="4" customFormat="1" x14ac:dyDescent="0.2">
      <c r="A47" s="689">
        <v>37</v>
      </c>
      <c r="B47" s="59" t="s">
        <v>80</v>
      </c>
      <c r="C47" s="41" t="s">
        <v>81</v>
      </c>
      <c r="D47" s="164">
        <f>D48</f>
        <v>0</v>
      </c>
      <c r="E47" s="164">
        <f>E48</f>
        <v>0</v>
      </c>
      <c r="F47" s="365">
        <f>F48+F49</f>
        <v>1</v>
      </c>
      <c r="G47" s="365">
        <f>G48+G49</f>
        <v>1</v>
      </c>
      <c r="H47" s="365">
        <f>H48+H49</f>
        <v>0</v>
      </c>
      <c r="I47" s="365">
        <f>I48+I49</f>
        <v>0</v>
      </c>
      <c r="J47" s="365">
        <f>J48+J49</f>
        <v>0</v>
      </c>
      <c r="K47" s="45"/>
      <c r="L47" s="44"/>
      <c r="M47" s="711"/>
    </row>
    <row r="48" spans="1:13" s="4" customFormat="1" x14ac:dyDescent="0.2">
      <c r="A48" s="689">
        <v>38</v>
      </c>
      <c r="B48" s="59" t="s">
        <v>80</v>
      </c>
      <c r="C48" s="41"/>
      <c r="D48" s="164">
        <v>0</v>
      </c>
      <c r="E48" s="164">
        <v>0</v>
      </c>
      <c r="F48" s="365">
        <f>G48+H48+I48+J48</f>
        <v>1</v>
      </c>
      <c r="G48" s="365">
        <v>1</v>
      </c>
      <c r="H48" s="365">
        <v>0</v>
      </c>
      <c r="I48" s="365">
        <v>0</v>
      </c>
      <c r="J48" s="365">
        <v>0</v>
      </c>
      <c r="K48" s="45"/>
      <c r="L48" s="44"/>
      <c r="M48" s="711"/>
    </row>
    <row r="49" spans="1:13" s="4" customFormat="1" hidden="1" x14ac:dyDescent="0.2">
      <c r="A49" s="689">
        <v>39</v>
      </c>
      <c r="B49" s="59" t="s">
        <v>82</v>
      </c>
      <c r="C49" s="41"/>
      <c r="D49" s="164"/>
      <c r="E49" s="164"/>
      <c r="F49" s="365"/>
      <c r="G49" s="365"/>
      <c r="H49" s="365"/>
      <c r="I49" s="365"/>
      <c r="J49" s="365"/>
      <c r="K49" s="45"/>
      <c r="L49" s="44"/>
      <c r="M49" s="711"/>
    </row>
    <row r="50" spans="1:13" s="4" customFormat="1" x14ac:dyDescent="0.2">
      <c r="A50" s="689">
        <v>40</v>
      </c>
      <c r="B50" s="73" t="s">
        <v>83</v>
      </c>
      <c r="C50" s="56" t="s">
        <v>84</v>
      </c>
      <c r="D50" s="158">
        <f>D51</f>
        <v>0</v>
      </c>
      <c r="E50" s="158">
        <f>E51</f>
        <v>0</v>
      </c>
      <c r="F50" s="365">
        <f>F51+F52</f>
        <v>7</v>
      </c>
      <c r="G50" s="365">
        <f>G51+G52</f>
        <v>3</v>
      </c>
      <c r="H50" s="365">
        <f>H51+H52</f>
        <v>2</v>
      </c>
      <c r="I50" s="365">
        <f>I51+I52</f>
        <v>1</v>
      </c>
      <c r="J50" s="365">
        <f>J51+J52</f>
        <v>1</v>
      </c>
      <c r="K50" s="45"/>
      <c r="L50" s="44"/>
      <c r="M50" s="711"/>
    </row>
    <row r="51" spans="1:13" s="4" customFormat="1" x14ac:dyDescent="0.2">
      <c r="A51" s="689">
        <v>41</v>
      </c>
      <c r="B51" s="74" t="s">
        <v>83</v>
      </c>
      <c r="C51" s="41"/>
      <c r="D51" s="164">
        <v>0</v>
      </c>
      <c r="E51" s="164">
        <v>0</v>
      </c>
      <c r="F51" s="365">
        <f>G51+H51+I51+J51</f>
        <v>7</v>
      </c>
      <c r="G51" s="365">
        <v>3</v>
      </c>
      <c r="H51" s="365">
        <v>2</v>
      </c>
      <c r="I51" s="365">
        <v>1</v>
      </c>
      <c r="J51" s="365">
        <v>1</v>
      </c>
      <c r="K51" s="45"/>
      <c r="L51" s="44"/>
      <c r="M51" s="711"/>
    </row>
    <row r="52" spans="1:13" s="4" customFormat="1" hidden="1" x14ac:dyDescent="0.2">
      <c r="A52" s="689">
        <v>42</v>
      </c>
      <c r="B52" s="74" t="s">
        <v>85</v>
      </c>
      <c r="C52" s="41"/>
      <c r="D52" s="164"/>
      <c r="E52" s="164"/>
      <c r="F52" s="365"/>
      <c r="G52" s="365"/>
      <c r="H52" s="365"/>
      <c r="I52" s="365"/>
      <c r="J52" s="365"/>
      <c r="K52" s="250"/>
      <c r="L52" s="91"/>
      <c r="M52" s="780"/>
    </row>
    <row r="53" spans="1:13" s="4" customFormat="1" x14ac:dyDescent="0.2">
      <c r="A53" s="689">
        <v>43</v>
      </c>
      <c r="B53" s="55" t="s">
        <v>86</v>
      </c>
      <c r="C53" s="56" t="s">
        <v>87</v>
      </c>
      <c r="D53" s="158">
        <f>D54+D55</f>
        <v>0</v>
      </c>
      <c r="E53" s="158">
        <f>E54+E55</f>
        <v>0</v>
      </c>
      <c r="F53" s="364">
        <f>F54+F55+F56</f>
        <v>7</v>
      </c>
      <c r="G53" s="364">
        <f>G54+G55+G56</f>
        <v>4</v>
      </c>
      <c r="H53" s="364">
        <f>H54+H55+H56</f>
        <v>3</v>
      </c>
      <c r="I53" s="364">
        <f>I54+I55+I56</f>
        <v>0</v>
      </c>
      <c r="J53" s="364">
        <f>J54+J55+J56</f>
        <v>0</v>
      </c>
      <c r="K53" s="250"/>
      <c r="L53" s="91"/>
      <c r="M53" s="780"/>
    </row>
    <row r="54" spans="1:13" s="4" customFormat="1" x14ac:dyDescent="0.2">
      <c r="A54" s="689">
        <v>44</v>
      </c>
      <c r="B54" s="59" t="s">
        <v>88</v>
      </c>
      <c r="C54" s="41"/>
      <c r="D54" s="164">
        <v>0</v>
      </c>
      <c r="E54" s="164">
        <v>0</v>
      </c>
      <c r="F54" s="365">
        <f>G54+H54+I54+J54</f>
        <v>5</v>
      </c>
      <c r="G54" s="365">
        <v>3</v>
      </c>
      <c r="H54" s="365">
        <f>3-1</f>
        <v>2</v>
      </c>
      <c r="I54" s="365">
        <f>2-2</f>
        <v>0</v>
      </c>
      <c r="J54" s="365">
        <f>2-2</f>
        <v>0</v>
      </c>
      <c r="K54" s="250"/>
      <c r="L54" s="91"/>
      <c r="M54" s="780"/>
    </row>
    <row r="55" spans="1:13" s="4" customFormat="1" x14ac:dyDescent="0.2">
      <c r="A55" s="689">
        <v>45</v>
      </c>
      <c r="B55" s="59" t="s">
        <v>89</v>
      </c>
      <c r="C55" s="41"/>
      <c r="D55" s="164">
        <v>0</v>
      </c>
      <c r="E55" s="164">
        <v>0</v>
      </c>
      <c r="F55" s="365">
        <f>G55+H55+I55+J55</f>
        <v>2</v>
      </c>
      <c r="G55" s="365">
        <f>3-2</f>
        <v>1</v>
      </c>
      <c r="H55" s="365">
        <f>3-2</f>
        <v>1</v>
      </c>
      <c r="I55" s="365">
        <v>0</v>
      </c>
      <c r="J55" s="365">
        <v>0</v>
      </c>
      <c r="K55" s="250"/>
      <c r="L55" s="91"/>
      <c r="M55" s="780"/>
    </row>
    <row r="56" spans="1:13" s="4" customFormat="1" hidden="1" x14ac:dyDescent="0.2">
      <c r="A56" s="689">
        <v>46</v>
      </c>
      <c r="B56" s="59" t="s">
        <v>233</v>
      </c>
      <c r="C56" s="41"/>
      <c r="D56" s="164"/>
      <c r="E56" s="164"/>
      <c r="F56" s="364"/>
      <c r="G56" s="364"/>
      <c r="H56" s="364"/>
      <c r="I56" s="364"/>
      <c r="J56" s="364"/>
      <c r="K56" s="104"/>
      <c r="L56" s="103"/>
      <c r="M56" s="781"/>
    </row>
    <row r="57" spans="1:13" s="4" customFormat="1" hidden="1" x14ac:dyDescent="0.2">
      <c r="A57" s="689">
        <v>47</v>
      </c>
      <c r="B57" s="55" t="s">
        <v>91</v>
      </c>
      <c r="C57" s="75" t="s">
        <v>92</v>
      </c>
      <c r="D57" s="158"/>
      <c r="E57" s="158"/>
      <c r="F57" s="364"/>
      <c r="G57" s="364"/>
      <c r="H57" s="364"/>
      <c r="I57" s="364"/>
      <c r="J57" s="364"/>
      <c r="K57" s="104"/>
      <c r="L57" s="103"/>
      <c r="M57" s="781"/>
    </row>
    <row r="58" spans="1:13" s="4" customFormat="1" x14ac:dyDescent="0.2">
      <c r="A58" s="689">
        <v>48</v>
      </c>
      <c r="B58" s="73" t="s">
        <v>93</v>
      </c>
      <c r="C58" s="56" t="s">
        <v>94</v>
      </c>
      <c r="D58" s="164">
        <v>0</v>
      </c>
      <c r="E58" s="164">
        <v>0</v>
      </c>
      <c r="F58" s="365">
        <f>G58+H58+I58+J58</f>
        <v>61</v>
      </c>
      <c r="G58" s="365">
        <v>17</v>
      </c>
      <c r="H58" s="365">
        <v>16</v>
      </c>
      <c r="I58" s="365">
        <v>14</v>
      </c>
      <c r="J58" s="365">
        <v>14</v>
      </c>
      <c r="K58" s="104"/>
      <c r="L58" s="103"/>
      <c r="M58" s="781"/>
    </row>
    <row r="59" spans="1:13" s="4" customFormat="1" x14ac:dyDescent="0.2">
      <c r="A59" s="689">
        <v>49</v>
      </c>
      <c r="B59" s="55" t="s">
        <v>95</v>
      </c>
      <c r="C59" s="56" t="s">
        <v>96</v>
      </c>
      <c r="D59" s="158">
        <f>D62+D63</f>
        <v>0</v>
      </c>
      <c r="E59" s="158">
        <f>E62+E63+E61</f>
        <v>0</v>
      </c>
      <c r="F59" s="364">
        <f>F60+F61+F62</f>
        <v>2</v>
      </c>
      <c r="G59" s="364">
        <f>G60+G61+G62</f>
        <v>2</v>
      </c>
      <c r="H59" s="364">
        <f>H60+H61+H62</f>
        <v>0</v>
      </c>
      <c r="I59" s="364">
        <f>I60+I61+I62</f>
        <v>0</v>
      </c>
      <c r="J59" s="364">
        <f>J60+J61+J62</f>
        <v>0</v>
      </c>
      <c r="K59" s="104"/>
      <c r="L59" s="103"/>
      <c r="M59" s="781"/>
    </row>
    <row r="60" spans="1:13" s="4" customFormat="1" hidden="1" x14ac:dyDescent="0.2">
      <c r="A60" s="689">
        <v>50</v>
      </c>
      <c r="B60" s="59" t="s">
        <v>97</v>
      </c>
      <c r="C60" s="41" t="s">
        <v>98</v>
      </c>
      <c r="D60" s="164"/>
      <c r="E60" s="164"/>
      <c r="F60" s="365">
        <f>G60+H60+I60+J60</f>
        <v>0</v>
      </c>
      <c r="G60" s="365"/>
      <c r="H60" s="365"/>
      <c r="I60" s="365"/>
      <c r="J60" s="365"/>
      <c r="K60" s="250"/>
      <c r="L60" s="91"/>
      <c r="M60" s="780"/>
    </row>
    <row r="61" spans="1:13" s="4" customFormat="1" x14ac:dyDescent="0.2">
      <c r="A61" s="689">
        <v>51</v>
      </c>
      <c r="B61" s="59" t="s">
        <v>99</v>
      </c>
      <c r="C61" s="41" t="s">
        <v>100</v>
      </c>
      <c r="D61" s="164">
        <v>0</v>
      </c>
      <c r="E61" s="164">
        <v>0</v>
      </c>
      <c r="F61" s="365">
        <f>G61+H61+I61+J61</f>
        <v>1</v>
      </c>
      <c r="G61" s="365">
        <v>1</v>
      </c>
      <c r="H61" s="365">
        <v>0</v>
      </c>
      <c r="I61" s="365">
        <v>0</v>
      </c>
      <c r="J61" s="365">
        <v>0</v>
      </c>
      <c r="K61" s="250"/>
      <c r="L61" s="91"/>
      <c r="M61" s="780"/>
    </row>
    <row r="62" spans="1:13" s="4" customFormat="1" x14ac:dyDescent="0.2">
      <c r="A62" s="689">
        <v>52</v>
      </c>
      <c r="B62" s="59" t="s">
        <v>101</v>
      </c>
      <c r="C62" s="41" t="s">
        <v>102</v>
      </c>
      <c r="D62" s="164">
        <v>0</v>
      </c>
      <c r="E62" s="164">
        <v>0</v>
      </c>
      <c r="F62" s="365">
        <f>G62+H62+I62+J62</f>
        <v>1</v>
      </c>
      <c r="G62" s="365">
        <v>1</v>
      </c>
      <c r="H62" s="365">
        <v>0</v>
      </c>
      <c r="I62" s="365">
        <v>0</v>
      </c>
      <c r="J62" s="365">
        <v>0</v>
      </c>
      <c r="K62" s="250"/>
      <c r="L62" s="91"/>
      <c r="M62" s="780"/>
    </row>
    <row r="63" spans="1:13" s="4" customFormat="1" hidden="1" x14ac:dyDescent="0.2">
      <c r="A63" s="689">
        <v>53</v>
      </c>
      <c r="B63" s="59" t="s">
        <v>234</v>
      </c>
      <c r="C63" s="41" t="s">
        <v>102</v>
      </c>
      <c r="D63" s="190" t="s">
        <v>139</v>
      </c>
      <c r="E63" s="190" t="s">
        <v>139</v>
      </c>
      <c r="F63" s="365">
        <f>G63+H63+I63+J63</f>
        <v>0</v>
      </c>
      <c r="G63" s="365"/>
      <c r="H63" s="365"/>
      <c r="I63" s="365"/>
      <c r="J63" s="365"/>
      <c r="K63" s="250"/>
      <c r="L63" s="91"/>
      <c r="M63" s="780"/>
    </row>
    <row r="64" spans="1:13" s="4" customFormat="1" x14ac:dyDescent="0.2">
      <c r="A64" s="689">
        <v>54</v>
      </c>
      <c r="B64" s="76" t="s">
        <v>104</v>
      </c>
      <c r="C64" s="56" t="s">
        <v>105</v>
      </c>
      <c r="D64" s="53">
        <f>D67+D68</f>
        <v>0</v>
      </c>
      <c r="E64" s="53">
        <f>E67+E68+E65+E66</f>
        <v>0</v>
      </c>
      <c r="F64" s="364">
        <f>F65+F66+F67</f>
        <v>7</v>
      </c>
      <c r="G64" s="364">
        <f>G65+G66+G67</f>
        <v>5</v>
      </c>
      <c r="H64" s="364">
        <f>H65+H66+H67</f>
        <v>2</v>
      </c>
      <c r="I64" s="364">
        <f>I65+I66+I67</f>
        <v>0</v>
      </c>
      <c r="J64" s="364">
        <f>J65+J66+J67</f>
        <v>0</v>
      </c>
      <c r="K64" s="104"/>
      <c r="L64" s="103"/>
      <c r="M64" s="781"/>
    </row>
    <row r="65" spans="1:13" s="4" customFormat="1" x14ac:dyDescent="0.2">
      <c r="A65" s="689">
        <v>55</v>
      </c>
      <c r="B65" s="59" t="s">
        <v>106</v>
      </c>
      <c r="C65" s="41" t="s">
        <v>107</v>
      </c>
      <c r="D65" s="252" t="s">
        <v>139</v>
      </c>
      <c r="E65" s="252" t="s">
        <v>139</v>
      </c>
      <c r="F65" s="797">
        <f>G65+H65+I65+J65</f>
        <v>0</v>
      </c>
      <c r="G65" s="364">
        <v>0</v>
      </c>
      <c r="H65" s="364">
        <v>0</v>
      </c>
      <c r="I65" s="364">
        <v>0</v>
      </c>
      <c r="J65" s="364">
        <v>0</v>
      </c>
      <c r="K65" s="104"/>
      <c r="L65" s="103"/>
      <c r="M65" s="781"/>
    </row>
    <row r="66" spans="1:13" s="4" customFormat="1" x14ac:dyDescent="0.2">
      <c r="A66" s="689">
        <v>56</v>
      </c>
      <c r="B66" s="59" t="s">
        <v>108</v>
      </c>
      <c r="C66" s="41" t="s">
        <v>109</v>
      </c>
      <c r="D66" s="252" t="s">
        <v>139</v>
      </c>
      <c r="E66" s="252" t="s">
        <v>139</v>
      </c>
      <c r="F66" s="797">
        <f>G66+H66+I66+J66</f>
        <v>0</v>
      </c>
      <c r="G66" s="365">
        <v>0</v>
      </c>
      <c r="H66" s="365">
        <v>0</v>
      </c>
      <c r="I66" s="365">
        <v>0</v>
      </c>
      <c r="J66" s="365">
        <v>0</v>
      </c>
      <c r="K66" s="250"/>
      <c r="L66" s="91"/>
      <c r="M66" s="780"/>
    </row>
    <row r="67" spans="1:13" s="4" customFormat="1" ht="13.5" customHeight="1" x14ac:dyDescent="0.2">
      <c r="A67" s="689">
        <v>57</v>
      </c>
      <c r="B67" s="62" t="s">
        <v>110</v>
      </c>
      <c r="C67" s="63" t="s">
        <v>111</v>
      </c>
      <c r="D67" s="253" t="s">
        <v>139</v>
      </c>
      <c r="E67" s="253" t="s">
        <v>139</v>
      </c>
      <c r="F67" s="797">
        <f>G67+H67+I67+J67</f>
        <v>7</v>
      </c>
      <c r="G67" s="797">
        <v>5</v>
      </c>
      <c r="H67" s="797">
        <v>2</v>
      </c>
      <c r="I67" s="797">
        <v>0</v>
      </c>
      <c r="J67" s="797">
        <v>0</v>
      </c>
      <c r="K67" s="254"/>
      <c r="L67" s="94"/>
      <c r="M67" s="782"/>
    </row>
    <row r="68" spans="1:13" s="4" customFormat="1" ht="13.5" hidden="1" customHeight="1" x14ac:dyDescent="0.2">
      <c r="A68" s="689">
        <v>58</v>
      </c>
      <c r="B68" s="192" t="s">
        <v>235</v>
      </c>
      <c r="C68" s="255" t="s">
        <v>111</v>
      </c>
      <c r="D68" s="256" t="s">
        <v>139</v>
      </c>
      <c r="E68" s="256" t="s">
        <v>139</v>
      </c>
      <c r="F68" s="797">
        <f>G68+H68+I68+J68</f>
        <v>0</v>
      </c>
      <c r="G68" s="799">
        <v>0</v>
      </c>
      <c r="H68" s="799">
        <v>0</v>
      </c>
      <c r="I68" s="799">
        <v>0</v>
      </c>
      <c r="J68" s="799">
        <v>0</v>
      </c>
      <c r="K68" s="258"/>
      <c r="L68" s="259"/>
      <c r="M68" s="783"/>
    </row>
    <row r="69" spans="1:13" s="4" customFormat="1" ht="13.5" hidden="1" customHeight="1" x14ac:dyDescent="0.2">
      <c r="A69" s="689">
        <v>59</v>
      </c>
      <c r="B69" s="194" t="s">
        <v>113</v>
      </c>
      <c r="C69" s="69" t="s">
        <v>114</v>
      </c>
      <c r="D69" s="260"/>
      <c r="E69" s="260"/>
      <c r="F69" s="414">
        <f>F70+F71</f>
        <v>0</v>
      </c>
      <c r="G69" s="414">
        <f>G70+G71</f>
        <v>0</v>
      </c>
      <c r="H69" s="414">
        <f>H70+H71</f>
        <v>0</v>
      </c>
      <c r="I69" s="414">
        <f>I70+I71</f>
        <v>0</v>
      </c>
      <c r="J69" s="414">
        <f>J70+J71</f>
        <v>0</v>
      </c>
      <c r="K69" s="98"/>
      <c r="L69" s="97"/>
      <c r="M69" s="784"/>
    </row>
    <row r="70" spans="1:13" s="4" customFormat="1" ht="13.5" hidden="1" customHeight="1" x14ac:dyDescent="0.2">
      <c r="A70" s="689">
        <v>60</v>
      </c>
      <c r="B70" s="59" t="s">
        <v>115</v>
      </c>
      <c r="C70" s="41" t="s">
        <v>116</v>
      </c>
      <c r="D70" s="252"/>
      <c r="E70" s="252"/>
      <c r="F70" s="365"/>
      <c r="G70" s="365"/>
      <c r="H70" s="365"/>
      <c r="I70" s="365"/>
      <c r="J70" s="365"/>
      <c r="K70" s="250"/>
      <c r="L70" s="91"/>
      <c r="M70" s="780"/>
    </row>
    <row r="71" spans="1:13" s="4" customFormat="1" ht="13.5" hidden="1" customHeight="1" x14ac:dyDescent="0.2">
      <c r="A71" s="689">
        <v>61</v>
      </c>
      <c r="B71" s="59" t="s">
        <v>117</v>
      </c>
      <c r="C71" s="41" t="s">
        <v>118</v>
      </c>
      <c r="D71" s="252"/>
      <c r="E71" s="252"/>
      <c r="F71" s="365"/>
      <c r="G71" s="365"/>
      <c r="H71" s="365"/>
      <c r="I71" s="365"/>
      <c r="J71" s="365"/>
      <c r="K71" s="250"/>
      <c r="L71" s="91"/>
      <c r="M71" s="780"/>
    </row>
    <row r="72" spans="1:13" s="4" customFormat="1" ht="13.5" hidden="1" customHeight="1" thickBot="1" x14ac:dyDescent="0.25">
      <c r="A72" s="689">
        <v>62</v>
      </c>
      <c r="B72" s="195" t="s">
        <v>119</v>
      </c>
      <c r="C72" s="261" t="s">
        <v>120</v>
      </c>
      <c r="D72" s="262" t="s">
        <v>139</v>
      </c>
      <c r="E72" s="262" t="s">
        <v>139</v>
      </c>
      <c r="F72" s="418">
        <f>G72+H72+I72+J72</f>
        <v>0</v>
      </c>
      <c r="G72" s="418">
        <v>0</v>
      </c>
      <c r="H72" s="418">
        <f>1-1</f>
        <v>0</v>
      </c>
      <c r="I72" s="418">
        <v>0</v>
      </c>
      <c r="J72" s="418">
        <v>0</v>
      </c>
      <c r="K72" s="131"/>
      <c r="L72" s="132"/>
      <c r="M72" s="785"/>
    </row>
    <row r="73" spans="1:13" s="4" customFormat="1" ht="13.5" hidden="1" customHeight="1" x14ac:dyDescent="0.2">
      <c r="A73" s="689">
        <v>63</v>
      </c>
      <c r="B73" s="35" t="s">
        <v>121</v>
      </c>
      <c r="C73" s="69" t="s">
        <v>122</v>
      </c>
      <c r="D73" s="260"/>
      <c r="E73" s="260"/>
      <c r="F73" s="414"/>
      <c r="G73" s="414"/>
      <c r="H73" s="414"/>
      <c r="I73" s="414"/>
      <c r="J73" s="414"/>
      <c r="K73" s="98"/>
      <c r="L73" s="97"/>
      <c r="M73" s="784"/>
    </row>
    <row r="74" spans="1:13" s="4" customFormat="1" ht="13.5" hidden="1" customHeight="1" x14ac:dyDescent="0.2">
      <c r="A74" s="689">
        <v>64</v>
      </c>
      <c r="B74" s="55" t="s">
        <v>123</v>
      </c>
      <c r="C74" s="56" t="s">
        <v>124</v>
      </c>
      <c r="D74" s="263"/>
      <c r="E74" s="263"/>
      <c r="F74" s="364"/>
      <c r="G74" s="364"/>
      <c r="H74" s="364"/>
      <c r="I74" s="364"/>
      <c r="J74" s="364"/>
      <c r="K74" s="104"/>
      <c r="L74" s="103"/>
      <c r="M74" s="781"/>
    </row>
    <row r="75" spans="1:13" s="4" customFormat="1" ht="13.5" hidden="1" customHeight="1" x14ac:dyDescent="0.2">
      <c r="A75" s="689">
        <v>65</v>
      </c>
      <c r="B75" s="55" t="s">
        <v>125</v>
      </c>
      <c r="C75" s="56" t="s">
        <v>126</v>
      </c>
      <c r="D75" s="263"/>
      <c r="E75" s="263"/>
      <c r="F75" s="364"/>
      <c r="G75" s="364"/>
      <c r="H75" s="364"/>
      <c r="I75" s="364"/>
      <c r="J75" s="364"/>
      <c r="K75" s="104"/>
      <c r="L75" s="103"/>
      <c r="M75" s="781"/>
    </row>
    <row r="76" spans="1:13" s="4" customFormat="1" ht="13.5" customHeight="1" x14ac:dyDescent="0.2">
      <c r="A76" s="689">
        <v>66</v>
      </c>
      <c r="B76" s="55" t="s">
        <v>127</v>
      </c>
      <c r="C76" s="56" t="s">
        <v>128</v>
      </c>
      <c r="D76" s="377">
        <f t="shared" ref="D76:J76" si="4">D77+D78</f>
        <v>0</v>
      </c>
      <c r="E76" s="377">
        <f t="shared" si="4"/>
        <v>0</v>
      </c>
      <c r="F76" s="377">
        <f t="shared" si="4"/>
        <v>32</v>
      </c>
      <c r="G76" s="377">
        <f t="shared" si="4"/>
        <v>14</v>
      </c>
      <c r="H76" s="377">
        <f t="shared" si="4"/>
        <v>11</v>
      </c>
      <c r="I76" s="377">
        <f t="shared" si="4"/>
        <v>6</v>
      </c>
      <c r="J76" s="377">
        <f t="shared" si="4"/>
        <v>1</v>
      </c>
      <c r="K76" s="104"/>
      <c r="L76" s="103"/>
      <c r="M76" s="781"/>
    </row>
    <row r="77" spans="1:13" s="4" customFormat="1" ht="13.5" hidden="1" customHeight="1" x14ac:dyDescent="0.2">
      <c r="A77" s="689">
        <v>67</v>
      </c>
      <c r="B77" s="59" t="s">
        <v>129</v>
      </c>
      <c r="C77" s="41" t="s">
        <v>130</v>
      </c>
      <c r="D77" s="53"/>
      <c r="E77" s="53"/>
      <c r="F77" s="364">
        <f>G77+H77+I77+J77</f>
        <v>0</v>
      </c>
      <c r="G77" s="364"/>
      <c r="H77" s="364"/>
      <c r="I77" s="364"/>
      <c r="J77" s="364"/>
      <c r="K77" s="104"/>
      <c r="L77" s="103"/>
      <c r="M77" s="781"/>
    </row>
    <row r="78" spans="1:13" s="4" customFormat="1" ht="13.5" customHeight="1" x14ac:dyDescent="0.2">
      <c r="A78" s="689">
        <v>68</v>
      </c>
      <c r="B78" s="59" t="s">
        <v>131</v>
      </c>
      <c r="C78" s="56" t="s">
        <v>132</v>
      </c>
      <c r="D78" s="377">
        <f>D79+D80+D81+D82+D85+D83+D84</f>
        <v>0</v>
      </c>
      <c r="E78" s="377">
        <f>E79+E80+E81+E82+E85+E83+E84</f>
        <v>0</v>
      </c>
      <c r="F78" s="377">
        <f>F79+F80+F81+F82+F85+F83+F84</f>
        <v>32</v>
      </c>
      <c r="G78" s="365">
        <f>G79+G80+G81+G82+G83+G85+G84</f>
        <v>14</v>
      </c>
      <c r="H78" s="365">
        <f>H79+H80+H81+H82+H83+H85+H84</f>
        <v>11</v>
      </c>
      <c r="I78" s="365">
        <f>I79+I80+I81+I82+I83+I85+I84</f>
        <v>6</v>
      </c>
      <c r="J78" s="365">
        <f>J79+J80+J81+J82+J83+J85+J84</f>
        <v>1</v>
      </c>
      <c r="K78" s="250"/>
      <c r="L78" s="91"/>
      <c r="M78" s="780"/>
    </row>
    <row r="79" spans="1:13" s="4" customFormat="1" ht="13.5" customHeight="1" x14ac:dyDescent="0.2">
      <c r="A79" s="689">
        <v>69</v>
      </c>
      <c r="B79" s="59" t="s">
        <v>346</v>
      </c>
      <c r="C79" s="41"/>
      <c r="D79" s="252" t="s">
        <v>139</v>
      </c>
      <c r="E79" s="252" t="s">
        <v>139</v>
      </c>
      <c r="F79" s="391">
        <f t="shared" ref="F79:F85" si="5">G79+H79+I79+J79</f>
        <v>11</v>
      </c>
      <c r="G79" s="365">
        <v>4</v>
      </c>
      <c r="H79" s="365">
        <v>3</v>
      </c>
      <c r="I79" s="365">
        <v>3</v>
      </c>
      <c r="J79" s="365">
        <v>1</v>
      </c>
      <c r="K79" s="250"/>
      <c r="L79" s="91"/>
      <c r="M79" s="780"/>
    </row>
    <row r="80" spans="1:13" s="4" customFormat="1" ht="13.5" hidden="1" customHeight="1" x14ac:dyDescent="0.2">
      <c r="A80" s="689">
        <v>70</v>
      </c>
      <c r="B80" s="70" t="s">
        <v>131</v>
      </c>
      <c r="C80" s="71"/>
      <c r="D80" s="273" t="s">
        <v>139</v>
      </c>
      <c r="E80" s="273" t="s">
        <v>139</v>
      </c>
      <c r="F80" s="391">
        <f t="shared" si="5"/>
        <v>0</v>
      </c>
      <c r="G80" s="391">
        <v>0</v>
      </c>
      <c r="H80" s="391">
        <v>0</v>
      </c>
      <c r="I80" s="391">
        <v>0</v>
      </c>
      <c r="J80" s="391">
        <v>0</v>
      </c>
      <c r="K80" s="250"/>
      <c r="L80" s="91"/>
      <c r="M80" s="780"/>
    </row>
    <row r="81" spans="1:13" s="4" customFormat="1" ht="13.5" customHeight="1" x14ac:dyDescent="0.2">
      <c r="A81" s="689">
        <v>71</v>
      </c>
      <c r="B81" s="59" t="s">
        <v>348</v>
      </c>
      <c r="C81" s="41"/>
      <c r="D81" s="253" t="s">
        <v>139</v>
      </c>
      <c r="E81" s="253" t="s">
        <v>139</v>
      </c>
      <c r="F81" s="797">
        <f t="shared" si="5"/>
        <v>8</v>
      </c>
      <c r="G81" s="797">
        <v>5</v>
      </c>
      <c r="H81" s="797">
        <v>3</v>
      </c>
      <c r="I81" s="797">
        <v>0</v>
      </c>
      <c r="J81" s="797">
        <v>0</v>
      </c>
      <c r="K81" s="250"/>
      <c r="L81" s="91"/>
      <c r="M81" s="780"/>
    </row>
    <row r="82" spans="1:13" s="4" customFormat="1" ht="13.5" hidden="1" customHeight="1" x14ac:dyDescent="0.2">
      <c r="A82" s="689">
        <v>72</v>
      </c>
      <c r="B82" s="62" t="s">
        <v>347</v>
      </c>
      <c r="C82" s="107"/>
      <c r="D82" s="763" t="s">
        <v>139</v>
      </c>
      <c r="E82" s="763" t="s">
        <v>139</v>
      </c>
      <c r="F82" s="800">
        <f t="shared" si="5"/>
        <v>0</v>
      </c>
      <c r="G82" s="800">
        <v>0</v>
      </c>
      <c r="H82" s="800">
        <v>0</v>
      </c>
      <c r="I82" s="800">
        <v>0</v>
      </c>
      <c r="J82" s="800">
        <v>0</v>
      </c>
      <c r="K82" s="760"/>
      <c r="L82" s="94"/>
      <c r="M82" s="782"/>
    </row>
    <row r="83" spans="1:13" s="4" customFormat="1" ht="13.5" customHeight="1" x14ac:dyDescent="0.2">
      <c r="A83" s="689">
        <v>73</v>
      </c>
      <c r="B83" s="192" t="s">
        <v>249</v>
      </c>
      <c r="C83" s="193"/>
      <c r="D83" s="639" t="s">
        <v>139</v>
      </c>
      <c r="E83" s="639" t="s">
        <v>139</v>
      </c>
      <c r="F83" s="800">
        <f t="shared" si="5"/>
        <v>0</v>
      </c>
      <c r="G83" s="800">
        <v>0</v>
      </c>
      <c r="H83" s="800">
        <v>0</v>
      </c>
      <c r="I83" s="800">
        <v>0</v>
      </c>
      <c r="J83" s="800">
        <v>0</v>
      </c>
      <c r="K83" s="761"/>
      <c r="L83" s="259"/>
      <c r="M83" s="783"/>
    </row>
    <row r="84" spans="1:13" s="4" customFormat="1" ht="13.5" customHeight="1" thickBot="1" x14ac:dyDescent="0.25">
      <c r="A84" s="693">
        <v>74</v>
      </c>
      <c r="B84" s="858" t="s">
        <v>250</v>
      </c>
      <c r="C84" s="919"/>
      <c r="D84" s="791" t="s">
        <v>139</v>
      </c>
      <c r="E84" s="791" t="s">
        <v>139</v>
      </c>
      <c r="F84" s="815">
        <f t="shared" si="5"/>
        <v>13</v>
      </c>
      <c r="G84" s="815">
        <v>5</v>
      </c>
      <c r="H84" s="815">
        <v>5</v>
      </c>
      <c r="I84" s="815">
        <v>3</v>
      </c>
      <c r="J84" s="815">
        <v>0</v>
      </c>
      <c r="K84" s="1048"/>
      <c r="L84" s="1044"/>
      <c r="M84" s="1045"/>
    </row>
    <row r="85" spans="1:13" s="4" customFormat="1" ht="13.5" hidden="1" customHeight="1" thickBot="1" x14ac:dyDescent="0.25">
      <c r="A85" s="820">
        <v>75</v>
      </c>
      <c r="B85" s="1103" t="s">
        <v>347</v>
      </c>
      <c r="C85" s="859"/>
      <c r="D85" s="1104" t="s">
        <v>139</v>
      </c>
      <c r="E85" s="1104" t="s">
        <v>139</v>
      </c>
      <c r="F85" s="1105">
        <f t="shared" si="5"/>
        <v>0</v>
      </c>
      <c r="G85" s="1105">
        <v>0</v>
      </c>
      <c r="H85" s="1105">
        <v>0</v>
      </c>
      <c r="I85" s="1105">
        <v>0</v>
      </c>
      <c r="J85" s="1105">
        <v>0</v>
      </c>
      <c r="K85" s="793"/>
      <c r="L85" s="794"/>
      <c r="M85" s="795"/>
    </row>
    <row r="86" spans="1:13" s="4" customFormat="1" ht="13.5" hidden="1" customHeight="1" x14ac:dyDescent="0.2">
      <c r="A86" s="689">
        <v>76</v>
      </c>
      <c r="B86" s="85" t="s">
        <v>137</v>
      </c>
      <c r="C86" s="86"/>
      <c r="D86" s="87"/>
      <c r="E86" s="87"/>
      <c r="F86" s="167"/>
      <c r="G86" s="167"/>
      <c r="H86" s="167"/>
      <c r="I86" s="167"/>
      <c r="J86" s="167"/>
      <c r="K86" s="89"/>
      <c r="L86" s="88"/>
      <c r="M86" s="269"/>
    </row>
    <row r="87" spans="1:13" s="4" customFormat="1" ht="13.5" hidden="1" customHeight="1" x14ac:dyDescent="0.2">
      <c r="A87" s="689">
        <v>77</v>
      </c>
      <c r="B87" s="90" t="s">
        <v>138</v>
      </c>
      <c r="C87" s="86"/>
      <c r="D87" s="87"/>
      <c r="E87" s="87"/>
      <c r="F87" s="167"/>
      <c r="G87" s="167"/>
      <c r="H87" s="167"/>
      <c r="I87" s="167"/>
      <c r="J87" s="167"/>
      <c r="K87" s="89"/>
      <c r="L87" s="88"/>
      <c r="M87" s="269"/>
    </row>
    <row r="88" spans="1:13" s="4" customFormat="1" ht="13.5" hidden="1" customHeight="1" x14ac:dyDescent="0.2">
      <c r="A88" s="689">
        <v>78</v>
      </c>
      <c r="B88" s="197" t="s">
        <v>140</v>
      </c>
      <c r="C88" s="69" t="s">
        <v>141</v>
      </c>
      <c r="D88" s="96"/>
      <c r="E88" s="96"/>
      <c r="F88" s="37"/>
      <c r="G88" s="37"/>
      <c r="H88" s="37"/>
      <c r="I88" s="37"/>
      <c r="J88" s="37"/>
      <c r="K88" s="98"/>
      <c r="L88" s="97"/>
      <c r="M88" s="99"/>
    </row>
    <row r="89" spans="1:13" s="4" customFormat="1" ht="13.5" hidden="1" customHeight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43"/>
      <c r="G89" s="43"/>
      <c r="H89" s="43"/>
      <c r="I89" s="43"/>
      <c r="J89" s="43"/>
      <c r="K89" s="104"/>
      <c r="L89" s="103"/>
      <c r="M89" s="105"/>
    </row>
    <row r="90" spans="1:13" s="4" customFormat="1" ht="13.5" hidden="1" customHeight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174"/>
      <c r="G90" s="174"/>
      <c r="H90" s="174"/>
      <c r="I90" s="174"/>
      <c r="J90" s="174"/>
      <c r="K90" s="109"/>
      <c r="L90" s="108"/>
      <c r="M90" s="110"/>
    </row>
    <row r="91" spans="1:13" s="4" customFormat="1" ht="13.5" hidden="1" customHeight="1" x14ac:dyDescent="0.2">
      <c r="A91" s="689">
        <v>81</v>
      </c>
      <c r="B91" s="35" t="s">
        <v>146</v>
      </c>
      <c r="C91" s="69" t="s">
        <v>147</v>
      </c>
      <c r="D91" s="96"/>
      <c r="E91" s="96"/>
      <c r="F91" s="175"/>
      <c r="G91" s="175"/>
      <c r="H91" s="175"/>
      <c r="I91" s="175"/>
      <c r="J91" s="175"/>
      <c r="K91" s="112"/>
      <c r="L91" s="111"/>
      <c r="M91" s="113"/>
    </row>
    <row r="92" spans="1:13" s="4" customFormat="1" ht="13.5" hidden="1" customHeight="1" x14ac:dyDescent="0.2">
      <c r="A92" s="689">
        <v>82</v>
      </c>
      <c r="B92" s="55" t="s">
        <v>148</v>
      </c>
      <c r="C92" s="56" t="s">
        <v>149</v>
      </c>
      <c r="D92" s="53">
        <f t="shared" ref="D92:J92" si="6">D93</f>
        <v>0</v>
      </c>
      <c r="E92" s="53">
        <f t="shared" si="6"/>
        <v>0</v>
      </c>
      <c r="F92" s="43">
        <f t="shared" si="6"/>
        <v>0</v>
      </c>
      <c r="G92" s="43">
        <f t="shared" si="6"/>
        <v>0</v>
      </c>
      <c r="H92" s="43">
        <f t="shared" si="6"/>
        <v>0</v>
      </c>
      <c r="I92" s="43">
        <f t="shared" si="6"/>
        <v>0</v>
      </c>
      <c r="J92" s="43">
        <f t="shared" si="6"/>
        <v>0</v>
      </c>
      <c r="K92" s="104"/>
      <c r="L92" s="103"/>
      <c r="M92" s="105"/>
    </row>
    <row r="93" spans="1:13" s="4" customFormat="1" ht="13.5" hidden="1" customHeight="1" x14ac:dyDescent="0.2">
      <c r="A93" s="689">
        <v>83</v>
      </c>
      <c r="B93" s="115" t="s">
        <v>150</v>
      </c>
      <c r="C93" s="56" t="s">
        <v>151</v>
      </c>
      <c r="D93" s="53">
        <f>D94</f>
        <v>0</v>
      </c>
      <c r="E93" s="53">
        <f>E94</f>
        <v>0</v>
      </c>
      <c r="F93" s="43">
        <f>F94+F107</f>
        <v>0</v>
      </c>
      <c r="G93" s="43">
        <f>G94+G107</f>
        <v>0</v>
      </c>
      <c r="H93" s="43">
        <f>H94+H107</f>
        <v>0</v>
      </c>
      <c r="I93" s="43">
        <f>I94+I107</f>
        <v>0</v>
      </c>
      <c r="J93" s="43">
        <f>J94+J107</f>
        <v>0</v>
      </c>
      <c r="K93" s="104"/>
      <c r="L93" s="103"/>
      <c r="M93" s="105"/>
    </row>
    <row r="94" spans="1:13" s="4" customFormat="1" ht="13.5" hidden="1" customHeight="1" x14ac:dyDescent="0.2">
      <c r="A94" s="689">
        <v>84</v>
      </c>
      <c r="B94" s="115" t="s">
        <v>152</v>
      </c>
      <c r="C94" s="56" t="s">
        <v>153</v>
      </c>
      <c r="D94" s="53">
        <v>0</v>
      </c>
      <c r="E94" s="53">
        <f>E102</f>
        <v>0</v>
      </c>
      <c r="F94" s="43">
        <f>F95+F96+F97+F98+F100+F101+F102</f>
        <v>0</v>
      </c>
      <c r="G94" s="43">
        <f>G95+G96+G97+G98+G100+G101+G102</f>
        <v>0</v>
      </c>
      <c r="H94" s="43">
        <f>H95+H96+H97+H98+H100+H101+H102</f>
        <v>0</v>
      </c>
      <c r="I94" s="43">
        <f>I95+I96+I97+I98+I100+I101+I102</f>
        <v>0</v>
      </c>
      <c r="J94" s="43">
        <f>J95+J96+J97+J98+J100+J101+J102</f>
        <v>0</v>
      </c>
      <c r="K94" s="104"/>
      <c r="L94" s="103"/>
      <c r="M94" s="105"/>
    </row>
    <row r="95" spans="1:13" s="4" customFormat="1" ht="13.5" hidden="1" customHeight="1" x14ac:dyDescent="0.2">
      <c r="A95" s="689">
        <v>85</v>
      </c>
      <c r="B95" s="116" t="s">
        <v>154</v>
      </c>
      <c r="C95" s="41"/>
      <c r="D95" s="252"/>
      <c r="E95" s="252"/>
      <c r="F95" s="43"/>
      <c r="G95" s="43"/>
      <c r="H95" s="43"/>
      <c r="I95" s="43"/>
      <c r="J95" s="43"/>
      <c r="K95" s="118"/>
      <c r="L95" s="103"/>
      <c r="M95" s="105"/>
    </row>
    <row r="96" spans="1:13" s="4" customFormat="1" ht="13.5" hidden="1" customHeight="1" x14ac:dyDescent="0.2">
      <c r="A96" s="689">
        <v>86</v>
      </c>
      <c r="B96" s="116" t="s">
        <v>155</v>
      </c>
      <c r="C96" s="41"/>
      <c r="D96" s="252"/>
      <c r="E96" s="252"/>
      <c r="F96" s="43"/>
      <c r="G96" s="43"/>
      <c r="H96" s="43"/>
      <c r="I96" s="43"/>
      <c r="J96" s="43"/>
      <c r="K96" s="118"/>
      <c r="L96" s="103"/>
      <c r="M96" s="105"/>
    </row>
    <row r="97" spans="1:13" s="4" customFormat="1" ht="13.5" hidden="1" customHeight="1" x14ac:dyDescent="0.2">
      <c r="A97" s="689">
        <v>87</v>
      </c>
      <c r="B97" s="116" t="s">
        <v>156</v>
      </c>
      <c r="C97" s="41"/>
      <c r="D97" s="252"/>
      <c r="E97" s="252"/>
      <c r="F97" s="43"/>
      <c r="G97" s="43"/>
      <c r="H97" s="43"/>
      <c r="I97" s="43"/>
      <c r="J97" s="43"/>
      <c r="K97" s="118"/>
      <c r="L97" s="103"/>
      <c r="M97" s="105"/>
    </row>
    <row r="98" spans="1:13" s="4" customFormat="1" ht="13.5" hidden="1" customHeight="1" x14ac:dyDescent="0.2">
      <c r="A98" s="689">
        <v>88</v>
      </c>
      <c r="B98" s="119" t="s">
        <v>157</v>
      </c>
      <c r="C98" s="41"/>
      <c r="D98" s="252"/>
      <c r="E98" s="252"/>
      <c r="F98" s="43"/>
      <c r="G98" s="43"/>
      <c r="H98" s="43"/>
      <c r="I98" s="43"/>
      <c r="J98" s="43"/>
      <c r="K98" s="118"/>
      <c r="L98" s="103"/>
      <c r="M98" s="105"/>
    </row>
    <row r="99" spans="1:13" s="4" customFormat="1" ht="13.5" hidden="1" customHeight="1" x14ac:dyDescent="0.2">
      <c r="A99" s="689">
        <v>89</v>
      </c>
      <c r="B99" s="120" t="s">
        <v>158</v>
      </c>
      <c r="C99" s="41"/>
      <c r="D99" s="252"/>
      <c r="E99" s="252"/>
      <c r="F99" s="43"/>
      <c r="G99" s="43"/>
      <c r="H99" s="43"/>
      <c r="I99" s="43"/>
      <c r="J99" s="43"/>
      <c r="K99" s="118"/>
      <c r="L99" s="103"/>
      <c r="M99" s="105"/>
    </row>
    <row r="100" spans="1:13" s="4" customFormat="1" ht="13.5" hidden="1" customHeight="1" x14ac:dyDescent="0.2">
      <c r="A100" s="689">
        <v>90</v>
      </c>
      <c r="B100" s="121" t="s">
        <v>159</v>
      </c>
      <c r="C100" s="41"/>
      <c r="D100" s="252"/>
      <c r="E100" s="252"/>
      <c r="F100" s="43"/>
      <c r="G100" s="43"/>
      <c r="H100" s="43"/>
      <c r="I100" s="43"/>
      <c r="J100" s="43"/>
      <c r="K100" s="118"/>
      <c r="L100" s="103"/>
      <c r="M100" s="105"/>
    </row>
    <row r="101" spans="1:13" s="4" customFormat="1" ht="13.5" hidden="1" customHeight="1" x14ac:dyDescent="0.2">
      <c r="A101" s="689">
        <v>91</v>
      </c>
      <c r="B101" s="122" t="s">
        <v>160</v>
      </c>
      <c r="C101" s="41"/>
      <c r="D101" s="252"/>
      <c r="E101" s="252"/>
      <c r="F101" s="43"/>
      <c r="G101" s="43"/>
      <c r="H101" s="43"/>
      <c r="I101" s="43"/>
      <c r="J101" s="43"/>
      <c r="K101" s="118"/>
      <c r="L101" s="103"/>
      <c r="M101" s="105"/>
    </row>
    <row r="102" spans="1:13" s="4" customFormat="1" ht="13.5" hidden="1" thickBot="1" x14ac:dyDescent="0.25">
      <c r="A102" s="689">
        <v>92</v>
      </c>
      <c r="B102" s="177" t="s">
        <v>161</v>
      </c>
      <c r="C102" s="81"/>
      <c r="D102" s="264" t="s">
        <v>139</v>
      </c>
      <c r="E102" s="264"/>
      <c r="F102" s="130">
        <f>G102+H102+I102+J102</f>
        <v>0</v>
      </c>
      <c r="G102" s="130">
        <v>0</v>
      </c>
      <c r="H102" s="130">
        <v>0</v>
      </c>
      <c r="I102" s="130">
        <v>0</v>
      </c>
      <c r="J102" s="130">
        <v>0</v>
      </c>
      <c r="K102" s="131"/>
      <c r="L102" s="132"/>
      <c r="M102" s="133"/>
    </row>
    <row r="103" spans="1:13" s="4" customFormat="1" hidden="1" x14ac:dyDescent="0.2">
      <c r="A103" s="689">
        <v>93</v>
      </c>
      <c r="B103" s="4" t="s">
        <v>162</v>
      </c>
      <c r="C103" s="92"/>
      <c r="D103" s="274"/>
      <c r="E103" s="274"/>
      <c r="F103" s="275"/>
      <c r="G103" s="275"/>
      <c r="H103" s="275"/>
      <c r="I103" s="275"/>
      <c r="J103" s="275"/>
      <c r="K103" s="276"/>
      <c r="L103" s="277"/>
      <c r="M103" s="278"/>
    </row>
    <row r="104" spans="1:13" s="4" customFormat="1" hidden="1" x14ac:dyDescent="0.2">
      <c r="A104" s="689">
        <v>94</v>
      </c>
      <c r="B104" s="122" t="s">
        <v>163</v>
      </c>
      <c r="C104" s="92"/>
      <c r="D104" s="274"/>
      <c r="E104" s="274"/>
      <c r="F104" s="275"/>
      <c r="G104" s="275"/>
      <c r="H104" s="275"/>
      <c r="I104" s="275"/>
      <c r="J104" s="275"/>
      <c r="K104" s="276"/>
      <c r="L104" s="277"/>
      <c r="M104" s="278"/>
    </row>
    <row r="105" spans="1:13" s="4" customFormat="1" hidden="1" x14ac:dyDescent="0.2">
      <c r="A105" s="689">
        <v>95</v>
      </c>
      <c r="B105" s="122" t="s">
        <v>164</v>
      </c>
      <c r="C105" s="92"/>
      <c r="D105" s="274"/>
      <c r="E105" s="274"/>
      <c r="F105" s="275"/>
      <c r="G105" s="275"/>
      <c r="H105" s="275"/>
      <c r="I105" s="275"/>
      <c r="J105" s="275"/>
      <c r="K105" s="276"/>
      <c r="L105" s="277"/>
      <c r="M105" s="278"/>
    </row>
    <row r="106" spans="1:13" s="4" customFormat="1" hidden="1" x14ac:dyDescent="0.2">
      <c r="A106" s="689">
        <v>96</v>
      </c>
      <c r="B106" s="213"/>
      <c r="C106" s="92"/>
      <c r="D106" s="274"/>
      <c r="E106" s="274"/>
      <c r="F106" s="275"/>
      <c r="G106" s="275"/>
      <c r="H106" s="275"/>
      <c r="I106" s="275"/>
      <c r="J106" s="275"/>
      <c r="K106" s="276"/>
      <c r="L106" s="277"/>
      <c r="M106" s="278"/>
    </row>
    <row r="107" spans="1:13" s="4" customFormat="1" hidden="1" x14ac:dyDescent="0.2">
      <c r="A107" s="689">
        <v>97</v>
      </c>
      <c r="B107" s="218" t="s">
        <v>165</v>
      </c>
      <c r="C107" s="69" t="s">
        <v>166</v>
      </c>
      <c r="D107" s="96"/>
      <c r="E107" s="96"/>
      <c r="F107" s="37">
        <f>F108+F109+F110</f>
        <v>0</v>
      </c>
      <c r="G107" s="37">
        <f>G108+G109+G110</f>
        <v>0</v>
      </c>
      <c r="H107" s="37">
        <f>H108+H109+H110</f>
        <v>0</v>
      </c>
      <c r="I107" s="37">
        <f>I108+I109+I110</f>
        <v>0</v>
      </c>
      <c r="J107" s="37">
        <f>J108+J109+J110</f>
        <v>0</v>
      </c>
      <c r="K107" s="98"/>
      <c r="L107" s="97"/>
      <c r="M107" s="99"/>
    </row>
    <row r="108" spans="1:13" s="4" customFormat="1" hidden="1" x14ac:dyDescent="0.2">
      <c r="A108" s="689">
        <v>98</v>
      </c>
      <c r="B108" s="124" t="s">
        <v>167</v>
      </c>
      <c r="C108" s="41"/>
      <c r="D108" s="117"/>
      <c r="E108" s="117"/>
      <c r="F108" s="43"/>
      <c r="G108" s="43"/>
      <c r="H108" s="43"/>
      <c r="I108" s="43"/>
      <c r="J108" s="43"/>
      <c r="K108" s="118"/>
      <c r="L108" s="103"/>
      <c r="M108" s="105"/>
    </row>
    <row r="109" spans="1:13" s="4" customFormat="1" hidden="1" x14ac:dyDescent="0.2">
      <c r="A109" s="689">
        <v>99</v>
      </c>
      <c r="B109" s="125" t="s">
        <v>168</v>
      </c>
      <c r="C109" s="41"/>
      <c r="D109" s="117"/>
      <c r="E109" s="117"/>
      <c r="F109" s="43"/>
      <c r="G109" s="43"/>
      <c r="H109" s="43"/>
      <c r="I109" s="43"/>
      <c r="J109" s="43"/>
      <c r="K109" s="118"/>
      <c r="L109" s="103"/>
      <c r="M109" s="105"/>
    </row>
    <row r="110" spans="1:13" s="4" customFormat="1" hidden="1" x14ac:dyDescent="0.2">
      <c r="A110" s="689">
        <v>100</v>
      </c>
      <c r="B110" s="116" t="s">
        <v>169</v>
      </c>
      <c r="C110" s="41"/>
      <c r="D110" s="117"/>
      <c r="E110" s="117"/>
      <c r="F110" s="43"/>
      <c r="G110" s="43"/>
      <c r="H110" s="43"/>
      <c r="I110" s="43"/>
      <c r="J110" s="43"/>
      <c r="K110" s="118"/>
      <c r="L110" s="103"/>
      <c r="M110" s="105"/>
    </row>
    <row r="111" spans="1:13" s="4" customFormat="1" hidden="1" x14ac:dyDescent="0.2">
      <c r="A111" s="689">
        <v>101</v>
      </c>
      <c r="B111" s="116" t="s">
        <v>170</v>
      </c>
      <c r="C111" s="41"/>
      <c r="D111" s="117"/>
      <c r="E111" s="117"/>
      <c r="F111" s="43"/>
      <c r="G111" s="43"/>
      <c r="H111" s="43"/>
      <c r="I111" s="43"/>
      <c r="J111" s="43"/>
      <c r="K111" s="104"/>
      <c r="L111" s="103"/>
      <c r="M111" s="105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43">
        <f>F117</f>
        <v>0</v>
      </c>
      <c r="G112" s="43">
        <f>G117</f>
        <v>0</v>
      </c>
      <c r="H112" s="43">
        <f>H117</f>
        <v>0</v>
      </c>
      <c r="I112" s="43">
        <f>I117</f>
        <v>0</v>
      </c>
      <c r="J112" s="43">
        <f>J117</f>
        <v>0</v>
      </c>
      <c r="K112" s="104"/>
      <c r="L112" s="103"/>
      <c r="M112" s="105"/>
    </row>
    <row r="113" spans="1:13" s="4" customFormat="1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43"/>
      <c r="G113" s="43"/>
      <c r="H113" s="43"/>
      <c r="I113" s="43"/>
      <c r="J113" s="43"/>
      <c r="K113" s="118"/>
      <c r="L113" s="103"/>
      <c r="M113" s="105"/>
    </row>
    <row r="114" spans="1:13" s="4" customFormat="1" hidden="1" x14ac:dyDescent="0.2">
      <c r="A114" s="689">
        <v>104</v>
      </c>
      <c r="B114" s="73" t="s">
        <v>174</v>
      </c>
      <c r="C114" s="56"/>
      <c r="D114" s="114"/>
      <c r="E114" s="114"/>
      <c r="F114" s="43"/>
      <c r="G114" s="43"/>
      <c r="H114" s="43"/>
      <c r="I114" s="43"/>
      <c r="J114" s="43"/>
      <c r="K114" s="118"/>
      <c r="L114" s="103"/>
      <c r="M114" s="105"/>
    </row>
    <row r="115" spans="1:13" s="4" customFormat="1" hidden="1" x14ac:dyDescent="0.2">
      <c r="A115" s="689">
        <v>105</v>
      </c>
      <c r="B115" s="73" t="s">
        <v>175</v>
      </c>
      <c r="C115" s="56"/>
      <c r="D115" s="114"/>
      <c r="E115" s="114"/>
      <c r="F115" s="43"/>
      <c r="G115" s="43"/>
      <c r="H115" s="43"/>
      <c r="I115" s="43"/>
      <c r="J115" s="43"/>
      <c r="K115" s="118"/>
      <c r="L115" s="103"/>
      <c r="M115" s="105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43"/>
      <c r="G116" s="43"/>
      <c r="H116" s="43"/>
      <c r="I116" s="43"/>
      <c r="J116" s="43"/>
      <c r="K116" s="118"/>
      <c r="L116" s="103"/>
      <c r="M116" s="105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129"/>
      <c r="E117" s="129"/>
      <c r="F117" s="130">
        <f>G117+H117+I117+J117</f>
        <v>0</v>
      </c>
      <c r="G117" s="130"/>
      <c r="H117" s="130"/>
      <c r="I117" s="130"/>
      <c r="J117" s="130"/>
      <c r="K117" s="131"/>
      <c r="L117" s="132"/>
      <c r="M117" s="133"/>
    </row>
    <row r="118" spans="1:13" s="135" customFormat="1" hidden="1" x14ac:dyDescent="0.2">
      <c r="A118" s="689">
        <v>108</v>
      </c>
      <c r="B118" s="24" t="s">
        <v>180</v>
      </c>
      <c r="C118" s="25"/>
      <c r="D118" s="134"/>
      <c r="E118" s="134"/>
      <c r="F118" s="37">
        <f>F132</f>
        <v>0</v>
      </c>
      <c r="G118" s="37">
        <f>G132</f>
        <v>0</v>
      </c>
      <c r="H118" s="37">
        <f>H132</f>
        <v>0</v>
      </c>
      <c r="I118" s="37">
        <f>I132</f>
        <v>0</v>
      </c>
      <c r="J118" s="37">
        <f>J132</f>
        <v>0</v>
      </c>
      <c r="K118" s="98"/>
      <c r="L118" s="97"/>
      <c r="M118" s="99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43"/>
      <c r="G119" s="43"/>
      <c r="H119" s="43"/>
      <c r="I119" s="43"/>
      <c r="J119" s="43"/>
      <c r="K119" s="118"/>
      <c r="L119" s="103"/>
      <c r="M119" s="105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43"/>
      <c r="G120" s="43"/>
      <c r="H120" s="43"/>
      <c r="I120" s="43"/>
      <c r="J120" s="43"/>
      <c r="K120" s="118"/>
      <c r="L120" s="103"/>
      <c r="M120" s="105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43"/>
      <c r="G121" s="43"/>
      <c r="H121" s="43"/>
      <c r="I121" s="43"/>
      <c r="J121" s="43"/>
      <c r="K121" s="118"/>
      <c r="L121" s="103"/>
      <c r="M121" s="105"/>
    </row>
    <row r="122" spans="1:13" s="139" customFormat="1" hidden="1" x14ac:dyDescent="0.2">
      <c r="A122" s="689">
        <v>112</v>
      </c>
      <c r="B122" s="138" t="s">
        <v>187</v>
      </c>
      <c r="C122" s="56" t="s">
        <v>188</v>
      </c>
      <c r="D122" s="117"/>
      <c r="E122" s="117"/>
      <c r="F122" s="43"/>
      <c r="G122" s="43"/>
      <c r="H122" s="43"/>
      <c r="I122" s="43"/>
      <c r="J122" s="43"/>
      <c r="K122" s="104"/>
      <c r="L122" s="103"/>
      <c r="M122" s="105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117"/>
      <c r="E123" s="117"/>
      <c r="F123" s="43"/>
      <c r="G123" s="43"/>
      <c r="H123" s="43"/>
      <c r="I123" s="43"/>
      <c r="J123" s="43"/>
      <c r="K123" s="104"/>
      <c r="L123" s="103"/>
      <c r="M123" s="105"/>
    </row>
    <row r="124" spans="1:13" s="139" customFormat="1" hidden="1" x14ac:dyDescent="0.2">
      <c r="A124" s="689">
        <v>114</v>
      </c>
      <c r="B124" s="138" t="s">
        <v>191</v>
      </c>
      <c r="C124" s="41" t="s">
        <v>192</v>
      </c>
      <c r="D124" s="117"/>
      <c r="E124" s="117"/>
      <c r="F124" s="43"/>
      <c r="G124" s="43"/>
      <c r="H124" s="43"/>
      <c r="I124" s="43"/>
      <c r="J124" s="43"/>
      <c r="K124" s="104"/>
      <c r="L124" s="103"/>
      <c r="M124" s="105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117"/>
      <c r="E125" s="117"/>
      <c r="F125" s="43"/>
      <c r="G125" s="43"/>
      <c r="H125" s="43"/>
      <c r="I125" s="43"/>
      <c r="J125" s="43"/>
      <c r="K125" s="104"/>
      <c r="L125" s="103"/>
      <c r="M125" s="105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117"/>
      <c r="E126" s="117"/>
      <c r="F126" s="43"/>
      <c r="G126" s="43"/>
      <c r="H126" s="43"/>
      <c r="I126" s="43"/>
      <c r="J126" s="43"/>
      <c r="K126" s="104"/>
      <c r="L126" s="103"/>
      <c r="M126" s="105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117"/>
      <c r="E127" s="117"/>
      <c r="F127" s="43"/>
      <c r="G127" s="43"/>
      <c r="H127" s="43"/>
      <c r="I127" s="43"/>
      <c r="J127" s="43"/>
      <c r="K127" s="104"/>
      <c r="L127" s="103"/>
      <c r="M127" s="105"/>
    </row>
    <row r="128" spans="1:13" s="139" customFormat="1" hidden="1" x14ac:dyDescent="0.2">
      <c r="A128" s="689">
        <v>118</v>
      </c>
      <c r="B128" s="138" t="s">
        <v>198</v>
      </c>
      <c r="C128" s="56" t="s">
        <v>199</v>
      </c>
      <c r="D128" s="117"/>
      <c r="E128" s="117"/>
      <c r="F128" s="43"/>
      <c r="G128" s="43"/>
      <c r="H128" s="43"/>
      <c r="I128" s="43"/>
      <c r="J128" s="43"/>
      <c r="K128" s="104"/>
      <c r="L128" s="103"/>
      <c r="M128" s="105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117"/>
      <c r="E129" s="117"/>
      <c r="F129" s="43"/>
      <c r="G129" s="43"/>
      <c r="H129" s="43"/>
      <c r="I129" s="43"/>
      <c r="J129" s="43"/>
      <c r="K129" s="104"/>
      <c r="L129" s="103"/>
      <c r="M129" s="105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117"/>
      <c r="E130" s="117"/>
      <c r="F130" s="43"/>
      <c r="G130" s="43"/>
      <c r="H130" s="43"/>
      <c r="I130" s="43"/>
      <c r="J130" s="43"/>
      <c r="K130" s="104"/>
      <c r="L130" s="103"/>
      <c r="M130" s="105"/>
    </row>
    <row r="131" spans="1:15" s="139" customFormat="1" hidden="1" x14ac:dyDescent="0.2">
      <c r="A131" s="689">
        <v>121</v>
      </c>
      <c r="B131" s="138" t="s">
        <v>204</v>
      </c>
      <c r="C131" s="41" t="s">
        <v>205</v>
      </c>
      <c r="D131" s="117"/>
      <c r="E131" s="117"/>
      <c r="F131" s="43"/>
      <c r="G131" s="43"/>
      <c r="H131" s="43"/>
      <c r="I131" s="43"/>
      <c r="J131" s="43"/>
      <c r="K131" s="104"/>
      <c r="L131" s="103"/>
      <c r="M131" s="105"/>
    </row>
    <row r="132" spans="1:15" s="4" customFormat="1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43">
        <f t="shared" ref="F132:J133" si="7">F133</f>
        <v>0</v>
      </c>
      <c r="G132" s="43">
        <f t="shared" si="7"/>
        <v>0</v>
      </c>
      <c r="H132" s="43">
        <f t="shared" si="7"/>
        <v>0</v>
      </c>
      <c r="I132" s="43">
        <f t="shared" si="7"/>
        <v>0</v>
      </c>
      <c r="J132" s="43">
        <f t="shared" si="7"/>
        <v>0</v>
      </c>
      <c r="K132" s="104"/>
      <c r="L132" s="103"/>
      <c r="M132" s="105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43">
        <f t="shared" si="7"/>
        <v>0</v>
      </c>
      <c r="G133" s="43">
        <f t="shared" si="7"/>
        <v>0</v>
      </c>
      <c r="H133" s="43">
        <f t="shared" si="7"/>
        <v>0</v>
      </c>
      <c r="I133" s="43">
        <f t="shared" si="7"/>
        <v>0</v>
      </c>
      <c r="J133" s="43">
        <f t="shared" si="7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43">
        <f>F135+F136+F138+F139</f>
        <v>0</v>
      </c>
      <c r="G134" s="43">
        <f>G135+G136+G138+G139</f>
        <v>0</v>
      </c>
      <c r="H134" s="43">
        <f>H135+H136+H138+H139</f>
        <v>0</v>
      </c>
      <c r="I134" s="43">
        <f>I135+I136+I138+I139</f>
        <v>0</v>
      </c>
      <c r="J134" s="4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43"/>
      <c r="G135" s="43"/>
      <c r="H135" s="43"/>
      <c r="I135" s="43"/>
      <c r="J135" s="4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43"/>
      <c r="G136" s="43"/>
      <c r="H136" s="43"/>
      <c r="I136" s="43"/>
      <c r="J136" s="4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43"/>
      <c r="G137" s="43"/>
      <c r="H137" s="43"/>
      <c r="I137" s="43"/>
      <c r="J137" s="4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43"/>
      <c r="G138" s="43"/>
      <c r="H138" s="43"/>
      <c r="I138" s="43"/>
      <c r="J138" s="4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272"/>
      <c r="G139" s="272"/>
      <c r="H139" s="272"/>
      <c r="I139" s="272"/>
      <c r="J139" s="272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107" t="s">
        <v>222</v>
      </c>
      <c r="D142" s="1107"/>
      <c r="E142" s="1107"/>
      <c r="F142" s="1107"/>
      <c r="G142" s="152" t="s">
        <v>390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I143" s="156"/>
      <c r="J143" s="1132" t="s">
        <v>388</v>
      </c>
      <c r="K143" s="1132"/>
      <c r="L143" s="1132"/>
      <c r="M143" s="1132"/>
      <c r="N143" s="156"/>
      <c r="O143" s="6"/>
    </row>
    <row r="144" spans="1:15" ht="12.75" customHeight="1" x14ac:dyDescent="0.2">
      <c r="J144" s="152" t="s">
        <v>389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32"/>
      <c r="J146" s="1132"/>
      <c r="K146" s="1132"/>
      <c r="L146" s="1132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E9:E10"/>
    <mergeCell ref="F9:F10"/>
    <mergeCell ref="G9:J9"/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</mergeCells>
  <pageMargins left="0.7" right="0.7" top="0.75" bottom="0.75" header="0.51180555555555551" footer="0.51180555555555551"/>
  <pageSetup paperSize="9" scale="64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FA8A-5EAA-47CB-8704-887C25B54602}">
  <sheetPr>
    <pageSetUpPr fitToPage="1"/>
  </sheetPr>
  <dimension ref="A1:M144"/>
  <sheetViews>
    <sheetView workbookViewId="0">
      <selection activeCell="C142" sqref="C142:F143"/>
    </sheetView>
  </sheetViews>
  <sheetFormatPr defaultColWidth="9" defaultRowHeight="12.75" x14ac:dyDescent="0.2"/>
  <cols>
    <col min="1" max="1" width="4.5703125" customWidth="1"/>
    <col min="2" max="2" width="54.42578125" customWidth="1"/>
    <col min="3" max="3" width="8.42578125" customWidth="1"/>
    <col min="4" max="4" width="10.28515625" customWidth="1"/>
    <col min="5" max="5" width="9" hidden="1" customWidth="1"/>
    <col min="6" max="6" width="11.28515625" customWidth="1"/>
    <col min="7" max="7" width="8" customWidth="1"/>
    <col min="8" max="8" width="7.28515625" customWidth="1"/>
    <col min="9" max="9" width="7.5703125" customWidth="1"/>
    <col min="10" max="10" width="7.85546875" customWidth="1"/>
    <col min="11" max="12" width="7.140625" customWidth="1"/>
    <col min="13" max="13" width="7" customWidth="1"/>
  </cols>
  <sheetData>
    <row r="1" spans="1:13" x14ac:dyDescent="0.2">
      <c r="A1" s="1"/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3" x14ac:dyDescent="0.2">
      <c r="A2" s="1"/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3" x14ac:dyDescent="0.2">
      <c r="A3" s="1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3" x14ac:dyDescent="0.2">
      <c r="A4" s="1"/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3" x14ac:dyDescent="0.2">
      <c r="A5" s="1"/>
      <c r="B5" s="1118" t="s">
        <v>332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</row>
    <row r="6" spans="1:13" x14ac:dyDescent="0.2">
      <c r="A6" s="1"/>
      <c r="B6" s="1119" t="s">
        <v>243</v>
      </c>
      <c r="C6" s="1119"/>
      <c r="D6" s="1119"/>
      <c r="E6" s="1119"/>
      <c r="F6" s="1119"/>
      <c r="G6" s="1119"/>
      <c r="H6" s="1119"/>
      <c r="I6" s="1119"/>
      <c r="J6" s="1119"/>
      <c r="K6" s="1119"/>
      <c r="L6" s="1119"/>
      <c r="M6" s="1119"/>
    </row>
    <row r="7" spans="1:13" x14ac:dyDescent="0.2">
      <c r="A7" s="1"/>
      <c r="B7" s="8"/>
      <c r="C7" s="245" t="s">
        <v>251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6.6" customHeight="1" thickBot="1" x14ac:dyDescent="0.25">
      <c r="A8" s="1120"/>
      <c r="B8" s="1120"/>
      <c r="C8" s="10"/>
      <c r="D8" s="10"/>
      <c r="E8" s="10"/>
      <c r="F8" s="10"/>
      <c r="G8" s="10"/>
      <c r="H8" s="10"/>
      <c r="I8" s="10"/>
      <c r="J8" s="1"/>
      <c r="K8" s="11"/>
      <c r="L8" s="11" t="s">
        <v>5</v>
      </c>
      <c r="M8" s="1"/>
    </row>
    <row r="9" spans="1:13" ht="12.75" customHeight="1" thickBot="1" x14ac:dyDescent="0.25">
      <c r="A9" s="1134" t="s">
        <v>6</v>
      </c>
      <c r="B9" s="1136" t="s">
        <v>7</v>
      </c>
      <c r="C9" s="1123" t="s">
        <v>8</v>
      </c>
      <c r="D9" s="1125" t="s">
        <v>379</v>
      </c>
      <c r="E9" s="1125"/>
      <c r="F9" s="1127" t="s">
        <v>380</v>
      </c>
      <c r="G9" s="1129" t="s">
        <v>12</v>
      </c>
      <c r="H9" s="1129"/>
      <c r="I9" s="1129"/>
      <c r="J9" s="1129"/>
      <c r="K9" s="1130" t="s">
        <v>13</v>
      </c>
      <c r="L9" s="1130"/>
      <c r="M9" s="1131"/>
    </row>
    <row r="10" spans="1:13" ht="41.45" customHeight="1" thickBot="1" x14ac:dyDescent="0.25">
      <c r="A10" s="1135"/>
      <c r="B10" s="1137"/>
      <c r="C10" s="1124"/>
      <c r="D10" s="1126"/>
      <c r="E10" s="1126"/>
      <c r="F10" s="1128"/>
      <c r="G10" s="967" t="s">
        <v>14</v>
      </c>
      <c r="H10" s="967" t="s">
        <v>15</v>
      </c>
      <c r="I10" s="967" t="s">
        <v>16</v>
      </c>
      <c r="J10" s="968" t="s">
        <v>17</v>
      </c>
      <c r="K10" s="969">
        <v>2026</v>
      </c>
      <c r="L10" s="15">
        <v>2027</v>
      </c>
      <c r="M10" s="672">
        <v>2028</v>
      </c>
    </row>
    <row r="11" spans="1:13" ht="25.5" x14ac:dyDescent="0.2">
      <c r="A11" s="773" t="s">
        <v>18</v>
      </c>
      <c r="B11" s="17" t="s">
        <v>19</v>
      </c>
      <c r="C11" s="18"/>
      <c r="D11" s="19">
        <f>D12</f>
        <v>0</v>
      </c>
      <c r="E11" s="19">
        <f>E12</f>
        <v>0</v>
      </c>
      <c r="F11" s="375">
        <f>F12+F118</f>
        <v>1254.6500000000001</v>
      </c>
      <c r="G11" s="375">
        <f>G12+G118</f>
        <v>283</v>
      </c>
      <c r="H11" s="375">
        <f>H12+H118</f>
        <v>294.64999999999998</v>
      </c>
      <c r="I11" s="375">
        <f>I12+I118</f>
        <v>335</v>
      </c>
      <c r="J11" s="375">
        <f>J12+J118</f>
        <v>342</v>
      </c>
      <c r="K11" s="21">
        <f t="shared" ref="K11:M12" si="0">K12</f>
        <v>1076.5788</v>
      </c>
      <c r="L11" s="22">
        <f t="shared" si="0"/>
        <v>1083.54375</v>
      </c>
      <c r="M11" s="774">
        <f t="shared" si="0"/>
        <v>1084.1067</v>
      </c>
    </row>
    <row r="12" spans="1:13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376">
        <f>F13</f>
        <v>1254.6500000000001</v>
      </c>
      <c r="G12" s="376">
        <f>G13</f>
        <v>283</v>
      </c>
      <c r="H12" s="376">
        <f>H13</f>
        <v>294.64999999999998</v>
      </c>
      <c r="I12" s="376">
        <f>I13</f>
        <v>335</v>
      </c>
      <c r="J12" s="313">
        <f>J13</f>
        <v>342</v>
      </c>
      <c r="K12" s="28">
        <f t="shared" si="0"/>
        <v>1076.5788</v>
      </c>
      <c r="L12" s="29">
        <f t="shared" si="0"/>
        <v>1083.54375</v>
      </c>
      <c r="M12" s="776">
        <f t="shared" si="0"/>
        <v>1084.1067</v>
      </c>
    </row>
    <row r="13" spans="1:13" x14ac:dyDescent="0.2">
      <c r="A13" s="689">
        <v>3</v>
      </c>
      <c r="B13" s="157" t="s">
        <v>21</v>
      </c>
      <c r="C13" s="75" t="s">
        <v>22</v>
      </c>
      <c r="D13" s="158">
        <f>D14+D34</f>
        <v>0</v>
      </c>
      <c r="E13" s="158">
        <f>E14+E34+E92</f>
        <v>0</v>
      </c>
      <c r="F13" s="364">
        <f>F14+F34+F92+F112</f>
        <v>1254.6500000000001</v>
      </c>
      <c r="G13" s="364">
        <f>G14+G34+G92+G112</f>
        <v>283</v>
      </c>
      <c r="H13" s="364">
        <f>H14+H34+H92+H112</f>
        <v>294.64999999999998</v>
      </c>
      <c r="I13" s="364">
        <f>I14+I34+I92+I112</f>
        <v>335</v>
      </c>
      <c r="J13" s="364">
        <f>J14+J34+J92+J112</f>
        <v>342</v>
      </c>
      <c r="K13" s="57">
        <f>K14+K34</f>
        <v>1076.5788</v>
      </c>
      <c r="L13" s="57">
        <f>L14+L34</f>
        <v>1083.54375</v>
      </c>
      <c r="M13" s="777">
        <f>M14+M34</f>
        <v>1084.1067</v>
      </c>
    </row>
    <row r="14" spans="1:13" x14ac:dyDescent="0.2">
      <c r="A14" s="689">
        <v>4</v>
      </c>
      <c r="B14" s="160" t="s">
        <v>23</v>
      </c>
      <c r="C14" s="161" t="s">
        <v>24</v>
      </c>
      <c r="D14" s="162">
        <f>D15+D26</f>
        <v>0</v>
      </c>
      <c r="E14" s="162">
        <f>E15+E26+E23</f>
        <v>0</v>
      </c>
      <c r="F14" s="364">
        <f>F15+F23+F26</f>
        <v>1067</v>
      </c>
      <c r="G14" s="364">
        <f>G15+G23+G26</f>
        <v>210</v>
      </c>
      <c r="H14" s="364">
        <f>H15+H23+H26</f>
        <v>219</v>
      </c>
      <c r="I14" s="364">
        <f>I15+I23+I26</f>
        <v>317</v>
      </c>
      <c r="J14" s="364">
        <f>J15+J23+J26</f>
        <v>321</v>
      </c>
      <c r="K14" s="57">
        <f>F14*83.1%</f>
        <v>886.67699999999991</v>
      </c>
      <c r="L14" s="43">
        <f>F14*83.7%</f>
        <v>893.07900000000006</v>
      </c>
      <c r="M14" s="771">
        <f>F14*83.7%</f>
        <v>893.07900000000006</v>
      </c>
    </row>
    <row r="15" spans="1:13" x14ac:dyDescent="0.2">
      <c r="A15" s="689">
        <v>5</v>
      </c>
      <c r="B15" s="55" t="s">
        <v>25</v>
      </c>
      <c r="C15" s="161" t="s">
        <v>26</v>
      </c>
      <c r="D15" s="162">
        <f>D16+D17+D21</f>
        <v>0</v>
      </c>
      <c r="E15" s="162">
        <f>E16+E17+E21</f>
        <v>0</v>
      </c>
      <c r="F15" s="364">
        <f>F16+F17+F18+F19+F20+F21</f>
        <v>1035</v>
      </c>
      <c r="G15" s="364">
        <f>G16+G17+G18+G19+G20+G21</f>
        <v>205</v>
      </c>
      <c r="H15" s="364">
        <f>H16+H17+H18+H19+H20+H21</f>
        <v>205</v>
      </c>
      <c r="I15" s="364">
        <f>I16+I17+I18+I19+I20+I21</f>
        <v>311</v>
      </c>
      <c r="J15" s="364">
        <f>J16+J17+J18+J19+J20+J21</f>
        <v>314</v>
      </c>
      <c r="K15" s="57"/>
      <c r="L15" s="43"/>
      <c r="M15" s="771"/>
    </row>
    <row r="16" spans="1:13" x14ac:dyDescent="0.2">
      <c r="A16" s="689">
        <v>6</v>
      </c>
      <c r="B16" s="40" t="s">
        <v>27</v>
      </c>
      <c r="C16" s="41" t="s">
        <v>28</v>
      </c>
      <c r="D16" s="164">
        <v>0</v>
      </c>
      <c r="E16" s="164">
        <v>0</v>
      </c>
      <c r="F16" s="365">
        <f t="shared" ref="F16:F21" si="1">G16+H16+I16+J16</f>
        <v>777</v>
      </c>
      <c r="G16" s="365">
        <v>180</v>
      </c>
      <c r="H16" s="365">
        <v>180</v>
      </c>
      <c r="I16" s="365">
        <f>180+28</f>
        <v>208</v>
      </c>
      <c r="J16" s="365">
        <f>181+28</f>
        <v>209</v>
      </c>
      <c r="K16" s="45"/>
      <c r="L16" s="44"/>
      <c r="M16" s="711"/>
    </row>
    <row r="17" spans="1:13" x14ac:dyDescent="0.2">
      <c r="A17" s="689">
        <v>7</v>
      </c>
      <c r="B17" s="40" t="s">
        <v>29</v>
      </c>
      <c r="C17" s="41" t="s">
        <v>30</v>
      </c>
      <c r="D17" s="164">
        <v>0</v>
      </c>
      <c r="E17" s="164">
        <v>0</v>
      </c>
      <c r="F17" s="365">
        <f t="shared" si="1"/>
        <v>217</v>
      </c>
      <c r="G17" s="365">
        <v>15</v>
      </c>
      <c r="H17" s="365">
        <v>15</v>
      </c>
      <c r="I17" s="365">
        <f>15+78</f>
        <v>93</v>
      </c>
      <c r="J17" s="365">
        <f>16+78</f>
        <v>94</v>
      </c>
      <c r="K17" s="45"/>
      <c r="L17" s="44"/>
      <c r="M17" s="711"/>
    </row>
    <row r="18" spans="1:13" hidden="1" x14ac:dyDescent="0.2">
      <c r="A18" s="689">
        <v>8</v>
      </c>
      <c r="B18" s="40" t="s">
        <v>31</v>
      </c>
      <c r="C18" s="41" t="s">
        <v>32</v>
      </c>
      <c r="D18" s="164"/>
      <c r="E18" s="164"/>
      <c r="F18" s="365">
        <f t="shared" si="1"/>
        <v>0</v>
      </c>
      <c r="G18" s="365"/>
      <c r="H18" s="365"/>
      <c r="I18" s="365">
        <v>0</v>
      </c>
      <c r="J18" s="365"/>
      <c r="K18" s="45"/>
      <c r="L18" s="44"/>
      <c r="M18" s="711"/>
    </row>
    <row r="19" spans="1:13" hidden="1" x14ac:dyDescent="0.2">
      <c r="A19" s="689">
        <v>9</v>
      </c>
      <c r="B19" s="320" t="s">
        <v>33</v>
      </c>
      <c r="C19" s="778" t="s">
        <v>34</v>
      </c>
      <c r="D19" s="779"/>
      <c r="E19" s="779"/>
      <c r="F19" s="365">
        <f t="shared" si="1"/>
        <v>0</v>
      </c>
      <c r="G19" s="365"/>
      <c r="H19" s="365"/>
      <c r="I19" s="365"/>
      <c r="J19" s="365"/>
      <c r="K19" s="45"/>
      <c r="L19" s="44"/>
      <c r="M19" s="711"/>
    </row>
    <row r="20" spans="1:13" hidden="1" x14ac:dyDescent="0.2">
      <c r="A20" s="689">
        <v>10</v>
      </c>
      <c r="B20" s="40" t="s">
        <v>35</v>
      </c>
      <c r="C20" s="41" t="s">
        <v>36</v>
      </c>
      <c r="D20" s="164">
        <v>0</v>
      </c>
      <c r="E20" s="164">
        <v>0</v>
      </c>
      <c r="F20" s="365">
        <f t="shared" si="1"/>
        <v>0</v>
      </c>
      <c r="G20" s="365"/>
      <c r="H20" s="365"/>
      <c r="I20" s="365"/>
      <c r="J20" s="365"/>
      <c r="K20" s="45"/>
      <c r="L20" s="44"/>
      <c r="M20" s="711"/>
    </row>
    <row r="21" spans="1:13" x14ac:dyDescent="0.2">
      <c r="A21" s="689">
        <v>11</v>
      </c>
      <c r="B21" s="40" t="s">
        <v>37</v>
      </c>
      <c r="C21" s="41" t="s">
        <v>38</v>
      </c>
      <c r="D21" s="164">
        <v>0</v>
      </c>
      <c r="E21" s="164">
        <v>0</v>
      </c>
      <c r="F21" s="365">
        <f t="shared" si="1"/>
        <v>41</v>
      </c>
      <c r="G21" s="365">
        <v>10</v>
      </c>
      <c r="H21" s="365">
        <v>10</v>
      </c>
      <c r="I21" s="365">
        <v>10</v>
      </c>
      <c r="J21" s="365">
        <v>11</v>
      </c>
      <c r="K21" s="45"/>
      <c r="L21" s="44"/>
      <c r="M21" s="711"/>
    </row>
    <row r="22" spans="1:13" hidden="1" x14ac:dyDescent="0.2">
      <c r="A22" s="689">
        <v>12</v>
      </c>
      <c r="B22" s="40" t="s">
        <v>39</v>
      </c>
      <c r="C22" s="41" t="s">
        <v>40</v>
      </c>
      <c r="D22" s="164"/>
      <c r="E22" s="164"/>
      <c r="F22" s="365"/>
      <c r="G22" s="365"/>
      <c r="H22" s="365"/>
      <c r="I22" s="365"/>
      <c r="J22" s="365"/>
      <c r="K22" s="45"/>
      <c r="L22" s="44"/>
      <c r="M22" s="711"/>
    </row>
    <row r="23" spans="1:13" x14ac:dyDescent="0.2">
      <c r="A23" s="689">
        <v>13</v>
      </c>
      <c r="B23" s="40" t="s">
        <v>41</v>
      </c>
      <c r="C23" s="52" t="s">
        <v>42</v>
      </c>
      <c r="D23" s="158">
        <v>0</v>
      </c>
      <c r="E23" s="158">
        <f t="shared" ref="E23:J23" si="2">E24</f>
        <v>0</v>
      </c>
      <c r="F23" s="365">
        <f t="shared" si="2"/>
        <v>9</v>
      </c>
      <c r="G23" s="365">
        <f t="shared" si="2"/>
        <v>0</v>
      </c>
      <c r="H23" s="365">
        <f t="shared" si="2"/>
        <v>9</v>
      </c>
      <c r="I23" s="365">
        <f t="shared" si="2"/>
        <v>0</v>
      </c>
      <c r="J23" s="365">
        <f t="shared" si="2"/>
        <v>0</v>
      </c>
      <c r="K23" s="45"/>
      <c r="L23" s="44"/>
      <c r="M23" s="711"/>
    </row>
    <row r="24" spans="1:13" x14ac:dyDescent="0.2">
      <c r="A24" s="689">
        <v>14</v>
      </c>
      <c r="B24" s="40" t="s">
        <v>43</v>
      </c>
      <c r="C24" s="54" t="s">
        <v>44</v>
      </c>
      <c r="D24" s="164">
        <v>0</v>
      </c>
      <c r="E24" s="164">
        <v>0</v>
      </c>
      <c r="F24" s="365">
        <f>G24+H24+I24+J24</f>
        <v>9</v>
      </c>
      <c r="G24" s="365">
        <v>0</v>
      </c>
      <c r="H24" s="365">
        <v>9</v>
      </c>
      <c r="I24" s="365">
        <v>0</v>
      </c>
      <c r="J24" s="365">
        <v>0</v>
      </c>
      <c r="K24" s="45"/>
      <c r="L24" s="44"/>
      <c r="M24" s="711"/>
    </row>
    <row r="25" spans="1:13" hidden="1" x14ac:dyDescent="0.2">
      <c r="A25" s="689">
        <v>15</v>
      </c>
      <c r="B25" s="40" t="s">
        <v>230</v>
      </c>
      <c r="C25" s="54" t="s">
        <v>231</v>
      </c>
      <c r="D25" s="164">
        <v>0</v>
      </c>
      <c r="E25" s="164"/>
      <c r="F25" s="365"/>
      <c r="G25" s="365"/>
      <c r="H25" s="365"/>
      <c r="I25" s="365"/>
      <c r="J25" s="365"/>
      <c r="K25" s="45"/>
      <c r="L25" s="44"/>
      <c r="M25" s="711"/>
    </row>
    <row r="26" spans="1:13" x14ac:dyDescent="0.2">
      <c r="A26" s="689">
        <v>16</v>
      </c>
      <c r="B26" s="55" t="s">
        <v>45</v>
      </c>
      <c r="C26" s="56" t="s">
        <v>46</v>
      </c>
      <c r="D26" s="43">
        <f t="shared" ref="D26:J26" si="3">D27+D28+D29+D30+D31+D32+D33</f>
        <v>0</v>
      </c>
      <c r="E26" s="43">
        <f t="shared" si="3"/>
        <v>0</v>
      </c>
      <c r="F26" s="364">
        <f t="shared" si="3"/>
        <v>23</v>
      </c>
      <c r="G26" s="364">
        <f t="shared" si="3"/>
        <v>5</v>
      </c>
      <c r="H26" s="364">
        <f t="shared" si="3"/>
        <v>5</v>
      </c>
      <c r="I26" s="364">
        <f t="shared" si="3"/>
        <v>6</v>
      </c>
      <c r="J26" s="364">
        <f t="shared" si="3"/>
        <v>7</v>
      </c>
      <c r="K26" s="57"/>
      <c r="L26" s="43"/>
      <c r="M26" s="771"/>
    </row>
    <row r="27" spans="1:13" hidden="1" x14ac:dyDescent="0.2">
      <c r="A27" s="689">
        <v>17</v>
      </c>
      <c r="B27" s="59" t="s">
        <v>47</v>
      </c>
      <c r="C27" s="41" t="s">
        <v>48</v>
      </c>
      <c r="D27" s="164"/>
      <c r="E27" s="164"/>
      <c r="F27" s="365">
        <f t="shared" ref="F27:F32" si="4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44"/>
      <c r="M27" s="711"/>
    </row>
    <row r="28" spans="1:13" hidden="1" x14ac:dyDescent="0.2">
      <c r="A28" s="689">
        <v>18</v>
      </c>
      <c r="B28" s="59" t="s">
        <v>49</v>
      </c>
      <c r="C28" s="41" t="s">
        <v>50</v>
      </c>
      <c r="D28" s="164"/>
      <c r="E28" s="164"/>
      <c r="F28" s="365">
        <f t="shared" si="4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44"/>
      <c r="M28" s="711"/>
    </row>
    <row r="29" spans="1:13" hidden="1" x14ac:dyDescent="0.2">
      <c r="A29" s="689">
        <v>19</v>
      </c>
      <c r="B29" s="59" t="s">
        <v>51</v>
      </c>
      <c r="C29" s="41" t="s">
        <v>52</v>
      </c>
      <c r="D29" s="164"/>
      <c r="E29" s="164"/>
      <c r="F29" s="365">
        <f t="shared" si="4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44"/>
      <c r="M29" s="711"/>
    </row>
    <row r="30" spans="1:13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4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44"/>
      <c r="M30" s="711"/>
    </row>
    <row r="31" spans="1:13" hidden="1" x14ac:dyDescent="0.2">
      <c r="A31" s="689">
        <v>21</v>
      </c>
      <c r="B31" s="59" t="s">
        <v>55</v>
      </c>
      <c r="C31" s="41" t="s">
        <v>56</v>
      </c>
      <c r="D31" s="164"/>
      <c r="E31" s="164"/>
      <c r="F31" s="365">
        <f t="shared" si="4"/>
        <v>0</v>
      </c>
      <c r="G31" s="365"/>
      <c r="H31" s="365"/>
      <c r="I31" s="365"/>
      <c r="J31" s="365"/>
      <c r="K31" s="45"/>
      <c r="L31" s="44"/>
      <c r="M31" s="711"/>
    </row>
    <row r="32" spans="1:13" x14ac:dyDescent="0.2">
      <c r="A32" s="689">
        <v>22</v>
      </c>
      <c r="B32" s="59" t="s">
        <v>57</v>
      </c>
      <c r="C32" s="41" t="s">
        <v>58</v>
      </c>
      <c r="D32" s="164">
        <v>0</v>
      </c>
      <c r="E32" s="164">
        <v>0</v>
      </c>
      <c r="F32" s="365">
        <f t="shared" si="4"/>
        <v>23</v>
      </c>
      <c r="G32" s="365">
        <v>5</v>
      </c>
      <c r="H32" s="365">
        <v>5</v>
      </c>
      <c r="I32" s="365">
        <f>4+2</f>
        <v>6</v>
      </c>
      <c r="J32" s="365">
        <f>5+2</f>
        <v>7</v>
      </c>
      <c r="K32" s="45"/>
      <c r="L32" s="44"/>
      <c r="M32" s="711"/>
    </row>
    <row r="33" spans="1:13" hidden="1" x14ac:dyDescent="0.2">
      <c r="A33" s="689">
        <v>23</v>
      </c>
      <c r="B33" s="59" t="s">
        <v>59</v>
      </c>
      <c r="C33" s="41" t="s">
        <v>60</v>
      </c>
      <c r="D33" s="164"/>
      <c r="E33" s="164"/>
      <c r="F33" s="365"/>
      <c r="G33" s="365"/>
      <c r="H33" s="365"/>
      <c r="I33" s="365"/>
      <c r="J33" s="365"/>
      <c r="K33" s="45"/>
      <c r="L33" s="44"/>
      <c r="M33" s="711"/>
    </row>
    <row r="34" spans="1:13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</f>
        <v>0</v>
      </c>
      <c r="F34" s="364">
        <f>F35+F57+F58+F59+F64+F69+F72+F73+F74+F75+F78</f>
        <v>187.65</v>
      </c>
      <c r="G34" s="364">
        <f>G35+G57+G58+G59+G64+G69+G72+G73+G74+G75+G78</f>
        <v>73</v>
      </c>
      <c r="H34" s="364">
        <f>H35+H57+H58+H59+H64+H69+H72+H73+H74+H75+H78</f>
        <v>75.650000000000006</v>
      </c>
      <c r="I34" s="364">
        <f>I35+I57+I58+I59+I64+I69+I72+I73+I74+I75+I78</f>
        <v>18</v>
      </c>
      <c r="J34" s="364">
        <f>J35+J57+J58+J59+J64+J69+J72+J73+J74+J75+J78</f>
        <v>21</v>
      </c>
      <c r="K34" s="57">
        <f>F34*101.2%</f>
        <v>189.90180000000001</v>
      </c>
      <c r="L34" s="43">
        <f>F34*101.5%</f>
        <v>190.46474999999998</v>
      </c>
      <c r="M34" s="771">
        <f>F34*101.8%</f>
        <v>191.02770000000001</v>
      </c>
    </row>
    <row r="35" spans="1:13" x14ac:dyDescent="0.2">
      <c r="A35" s="689">
        <v>25</v>
      </c>
      <c r="B35" s="160" t="s">
        <v>62</v>
      </c>
      <c r="C35" s="56" t="s">
        <v>63</v>
      </c>
      <c r="D35" s="158">
        <f>D36+D40+D43+D44+D47+D50+D53</f>
        <v>0</v>
      </c>
      <c r="E35" s="158">
        <f>E36+E40+E43+E44+E47+E50+E53</f>
        <v>0</v>
      </c>
      <c r="F35" s="364">
        <f>F36+F40+F43+F44+F45+F46+F47+F50+F53</f>
        <v>78</v>
      </c>
      <c r="G35" s="364">
        <f>G36+G40+G43+G44+G45+G46+G47+G50+G53</f>
        <v>35</v>
      </c>
      <c r="H35" s="364">
        <f>H36+H40+H43+H44+H45+H46+H47+H50+H53</f>
        <v>20</v>
      </c>
      <c r="I35" s="364">
        <f>I36+I40+I43+I44+I45+I46+I47+I50+I53</f>
        <v>9</v>
      </c>
      <c r="J35" s="364">
        <f>J36+J40+J43+J44+J45+J46+J47+J50+J53</f>
        <v>14</v>
      </c>
      <c r="K35" s="57"/>
      <c r="L35" s="43"/>
      <c r="M35" s="771"/>
    </row>
    <row r="36" spans="1:13" x14ac:dyDescent="0.2">
      <c r="A36" s="689">
        <v>26</v>
      </c>
      <c r="B36" s="55" t="s">
        <v>64</v>
      </c>
      <c r="C36" s="56" t="s">
        <v>65</v>
      </c>
      <c r="D36" s="158">
        <f>D37</f>
        <v>0</v>
      </c>
      <c r="E36" s="158">
        <f>E37</f>
        <v>0</v>
      </c>
      <c r="F36" s="365">
        <f>F37+F38+F39</f>
        <v>2</v>
      </c>
      <c r="G36" s="365">
        <f>G37+G38+G39</f>
        <v>2</v>
      </c>
      <c r="H36" s="365">
        <f>H37+H38+H39</f>
        <v>0</v>
      </c>
      <c r="I36" s="365">
        <f>I37+I38+I39</f>
        <v>0</v>
      </c>
      <c r="J36" s="365">
        <f>J37+J38+J39</f>
        <v>0</v>
      </c>
      <c r="K36" s="45"/>
      <c r="L36" s="44"/>
      <c r="M36" s="711"/>
    </row>
    <row r="37" spans="1:13" x14ac:dyDescent="0.2">
      <c r="A37" s="689">
        <v>27</v>
      </c>
      <c r="B37" s="59" t="s">
        <v>64</v>
      </c>
      <c r="C37" s="41"/>
      <c r="D37" s="164">
        <v>0</v>
      </c>
      <c r="E37" s="164">
        <v>0</v>
      </c>
      <c r="F37" s="365">
        <f>G37+H37+I37+J37</f>
        <v>2</v>
      </c>
      <c r="G37" s="365">
        <v>2</v>
      </c>
      <c r="H37" s="365">
        <v>0</v>
      </c>
      <c r="I37" s="365">
        <v>0</v>
      </c>
      <c r="J37" s="365">
        <v>0</v>
      </c>
      <c r="K37" s="45"/>
      <c r="L37" s="44"/>
      <c r="M37" s="711"/>
    </row>
    <row r="38" spans="1:13" hidden="1" x14ac:dyDescent="0.2">
      <c r="A38" s="689">
        <v>28</v>
      </c>
      <c r="B38" s="59" t="s">
        <v>66</v>
      </c>
      <c r="C38" s="41"/>
      <c r="D38" s="164"/>
      <c r="E38" s="164"/>
      <c r="F38" s="365"/>
      <c r="G38" s="365"/>
      <c r="H38" s="365"/>
      <c r="I38" s="365"/>
      <c r="J38" s="365"/>
      <c r="K38" s="45"/>
      <c r="L38" s="44"/>
      <c r="M38" s="711"/>
    </row>
    <row r="39" spans="1:13" hidden="1" x14ac:dyDescent="0.2">
      <c r="A39" s="689">
        <v>29</v>
      </c>
      <c r="B39" s="59" t="s">
        <v>67</v>
      </c>
      <c r="C39" s="41"/>
      <c r="D39" s="164"/>
      <c r="E39" s="164"/>
      <c r="F39" s="365"/>
      <c r="G39" s="365"/>
      <c r="H39" s="365"/>
      <c r="I39" s="365"/>
      <c r="J39" s="365"/>
      <c r="K39" s="45"/>
      <c r="L39" s="44"/>
      <c r="M39" s="711"/>
    </row>
    <row r="40" spans="1:13" x14ac:dyDescent="0.2">
      <c r="A40" s="689">
        <v>30</v>
      </c>
      <c r="B40" s="55" t="s">
        <v>68</v>
      </c>
      <c r="C40" s="56" t="s">
        <v>69</v>
      </c>
      <c r="D40" s="158">
        <f>D41</f>
        <v>0</v>
      </c>
      <c r="E40" s="158">
        <f>E41</f>
        <v>0</v>
      </c>
      <c r="F40" s="365">
        <f>F41+F42</f>
        <v>6</v>
      </c>
      <c r="G40" s="365">
        <f>G41+G42</f>
        <v>3</v>
      </c>
      <c r="H40" s="365">
        <f>H41+H42</f>
        <v>3</v>
      </c>
      <c r="I40" s="365">
        <f>I41+I42</f>
        <v>0</v>
      </c>
      <c r="J40" s="365">
        <f>J41+J42</f>
        <v>0</v>
      </c>
      <c r="K40" s="45"/>
      <c r="L40" s="44"/>
      <c r="M40" s="711"/>
    </row>
    <row r="41" spans="1:13" x14ac:dyDescent="0.2">
      <c r="A41" s="689">
        <v>31</v>
      </c>
      <c r="B41" s="59" t="s">
        <v>70</v>
      </c>
      <c r="C41" s="56"/>
      <c r="D41" s="158">
        <v>0</v>
      </c>
      <c r="E41" s="164">
        <v>0</v>
      </c>
      <c r="F41" s="365">
        <f>G41+H41+I41+J41</f>
        <v>6</v>
      </c>
      <c r="G41" s="365">
        <v>3</v>
      </c>
      <c r="H41" s="365">
        <v>3</v>
      </c>
      <c r="I41" s="365">
        <v>0</v>
      </c>
      <c r="J41" s="365">
        <v>0</v>
      </c>
      <c r="K41" s="45"/>
      <c r="L41" s="44"/>
      <c r="M41" s="711"/>
    </row>
    <row r="42" spans="1:13" hidden="1" x14ac:dyDescent="0.2">
      <c r="A42" s="689">
        <v>32</v>
      </c>
      <c r="B42" s="59" t="s">
        <v>71</v>
      </c>
      <c r="C42" s="56"/>
      <c r="D42" s="158"/>
      <c r="E42" s="158"/>
      <c r="F42" s="365"/>
      <c r="G42" s="365"/>
      <c r="H42" s="365"/>
      <c r="I42" s="365"/>
      <c r="J42" s="365"/>
      <c r="K42" s="45"/>
      <c r="L42" s="44"/>
      <c r="M42" s="711"/>
    </row>
    <row r="43" spans="1:13" x14ac:dyDescent="0.2">
      <c r="A43" s="689">
        <v>33</v>
      </c>
      <c r="B43" s="59" t="s">
        <v>72</v>
      </c>
      <c r="C43" s="41" t="s">
        <v>73</v>
      </c>
      <c r="D43" s="164">
        <v>0</v>
      </c>
      <c r="E43" s="164">
        <v>0</v>
      </c>
      <c r="F43" s="365">
        <f>G43+H43+I43+J43</f>
        <v>40</v>
      </c>
      <c r="G43" s="365">
        <v>17</v>
      </c>
      <c r="H43" s="365">
        <v>6</v>
      </c>
      <c r="I43" s="365">
        <v>5</v>
      </c>
      <c r="J43" s="365">
        <f>17-5</f>
        <v>12</v>
      </c>
      <c r="K43" s="45"/>
      <c r="L43" s="44"/>
      <c r="M43" s="711"/>
    </row>
    <row r="44" spans="1:13" x14ac:dyDescent="0.2">
      <c r="A44" s="689">
        <v>34</v>
      </c>
      <c r="B44" s="59" t="s">
        <v>74</v>
      </c>
      <c r="C44" s="41" t="s">
        <v>75</v>
      </c>
      <c r="D44" s="164">
        <v>0</v>
      </c>
      <c r="E44" s="164">
        <v>0</v>
      </c>
      <c r="F44" s="365">
        <f>G44+H44+I44+J44</f>
        <v>7</v>
      </c>
      <c r="G44" s="365">
        <v>3</v>
      </c>
      <c r="H44" s="365">
        <v>2</v>
      </c>
      <c r="I44" s="365">
        <v>1</v>
      </c>
      <c r="J44" s="365">
        <v>1</v>
      </c>
      <c r="K44" s="45"/>
      <c r="L44" s="44"/>
      <c r="M44" s="711"/>
    </row>
    <row r="45" spans="1:13" hidden="1" x14ac:dyDescent="0.2">
      <c r="A45" s="689">
        <v>35</v>
      </c>
      <c r="B45" s="59" t="s">
        <v>76</v>
      </c>
      <c r="C45" s="41" t="s">
        <v>77</v>
      </c>
      <c r="D45" s="164"/>
      <c r="E45" s="164">
        <v>0</v>
      </c>
      <c r="F45" s="365"/>
      <c r="G45" s="365"/>
      <c r="H45" s="365"/>
      <c r="I45" s="365"/>
      <c r="J45" s="365"/>
      <c r="K45" s="45"/>
      <c r="L45" s="44"/>
      <c r="M45" s="711"/>
    </row>
    <row r="46" spans="1:13" hidden="1" x14ac:dyDescent="0.2">
      <c r="A46" s="689">
        <v>36</v>
      </c>
      <c r="B46" s="59" t="s">
        <v>78</v>
      </c>
      <c r="C46" s="41" t="s">
        <v>79</v>
      </c>
      <c r="D46" s="164"/>
      <c r="E46" s="164">
        <v>0</v>
      </c>
      <c r="F46" s="365"/>
      <c r="G46" s="365"/>
      <c r="H46" s="365"/>
      <c r="I46" s="365"/>
      <c r="J46" s="365"/>
      <c r="K46" s="45"/>
      <c r="L46" s="44"/>
      <c r="M46" s="711"/>
    </row>
    <row r="47" spans="1:13" x14ac:dyDescent="0.2">
      <c r="A47" s="689">
        <v>37</v>
      </c>
      <c r="B47" s="59" t="s">
        <v>80</v>
      </c>
      <c r="C47" s="41" t="s">
        <v>81</v>
      </c>
      <c r="D47" s="164">
        <f>D48</f>
        <v>0</v>
      </c>
      <c r="E47" s="164">
        <f>E48</f>
        <v>0</v>
      </c>
      <c r="F47" s="365">
        <f>F48+F49</f>
        <v>3</v>
      </c>
      <c r="G47" s="365">
        <f>G48+G49</f>
        <v>1</v>
      </c>
      <c r="H47" s="365">
        <f>H48+H49</f>
        <v>1</v>
      </c>
      <c r="I47" s="365">
        <f>I48+I49</f>
        <v>1</v>
      </c>
      <c r="J47" s="365">
        <f>J48+J49</f>
        <v>0</v>
      </c>
      <c r="K47" s="45"/>
      <c r="L47" s="44"/>
      <c r="M47" s="711"/>
    </row>
    <row r="48" spans="1:13" x14ac:dyDescent="0.2">
      <c r="A48" s="689">
        <v>38</v>
      </c>
      <c r="B48" s="59" t="s">
        <v>80</v>
      </c>
      <c r="C48" s="41"/>
      <c r="D48" s="164">
        <v>0</v>
      </c>
      <c r="E48" s="164">
        <v>0</v>
      </c>
      <c r="F48" s="365">
        <f>G48+H48+I48+J48</f>
        <v>3</v>
      </c>
      <c r="G48" s="365">
        <v>1</v>
      </c>
      <c r="H48" s="365">
        <v>1</v>
      </c>
      <c r="I48" s="365">
        <v>1</v>
      </c>
      <c r="J48" s="365">
        <f>1-1</f>
        <v>0</v>
      </c>
      <c r="K48" s="45"/>
      <c r="L48" s="44"/>
      <c r="M48" s="711"/>
    </row>
    <row r="49" spans="1:13" hidden="1" x14ac:dyDescent="0.2">
      <c r="A49" s="689">
        <v>39</v>
      </c>
      <c r="B49" s="59" t="s">
        <v>82</v>
      </c>
      <c r="C49" s="41"/>
      <c r="D49" s="164"/>
      <c r="E49" s="164">
        <v>0</v>
      </c>
      <c r="F49" s="365"/>
      <c r="G49" s="365"/>
      <c r="H49" s="365"/>
      <c r="I49" s="365"/>
      <c r="J49" s="365"/>
      <c r="K49" s="45"/>
      <c r="L49" s="44"/>
      <c r="M49" s="711"/>
    </row>
    <row r="50" spans="1:13" x14ac:dyDescent="0.2">
      <c r="A50" s="689">
        <v>40</v>
      </c>
      <c r="B50" s="73" t="s">
        <v>83</v>
      </c>
      <c r="C50" s="56" t="s">
        <v>84</v>
      </c>
      <c r="D50" s="158">
        <f>D51</f>
        <v>0</v>
      </c>
      <c r="E50" s="158">
        <f>E51</f>
        <v>0</v>
      </c>
      <c r="F50" s="365">
        <f>F51+F52</f>
        <v>1</v>
      </c>
      <c r="G50" s="365">
        <f>G51+G52</f>
        <v>1</v>
      </c>
      <c r="H50" s="365">
        <f>H51+H52</f>
        <v>0</v>
      </c>
      <c r="I50" s="365">
        <f>I51+I52</f>
        <v>0</v>
      </c>
      <c r="J50" s="365">
        <f>J51+J52</f>
        <v>0</v>
      </c>
      <c r="K50" s="45"/>
      <c r="L50" s="44"/>
      <c r="M50" s="711"/>
    </row>
    <row r="51" spans="1:13" x14ac:dyDescent="0.2">
      <c r="A51" s="689">
        <v>41</v>
      </c>
      <c r="B51" s="74" t="s">
        <v>83</v>
      </c>
      <c r="C51" s="41"/>
      <c r="D51" s="164">
        <v>0</v>
      </c>
      <c r="E51" s="164">
        <v>0</v>
      </c>
      <c r="F51" s="365">
        <f>G51+H51+I51+J51</f>
        <v>1</v>
      </c>
      <c r="G51" s="365">
        <v>1</v>
      </c>
      <c r="H51" s="365">
        <v>0</v>
      </c>
      <c r="I51" s="365">
        <v>0</v>
      </c>
      <c r="J51" s="365">
        <v>0</v>
      </c>
      <c r="K51" s="45"/>
      <c r="L51" s="44"/>
      <c r="M51" s="711"/>
    </row>
    <row r="52" spans="1:13" hidden="1" x14ac:dyDescent="0.2">
      <c r="A52" s="689">
        <v>42</v>
      </c>
      <c r="B52" s="74" t="s">
        <v>85</v>
      </c>
      <c r="C52" s="41"/>
      <c r="D52" s="164"/>
      <c r="E52" s="164"/>
      <c r="F52" s="365"/>
      <c r="G52" s="365"/>
      <c r="H52" s="365"/>
      <c r="I52" s="365"/>
      <c r="J52" s="365"/>
      <c r="K52" s="250"/>
      <c r="L52" s="91"/>
      <c r="M52" s="780"/>
    </row>
    <row r="53" spans="1:13" x14ac:dyDescent="0.2">
      <c r="A53" s="689">
        <v>43</v>
      </c>
      <c r="B53" s="55" t="s">
        <v>86</v>
      </c>
      <c r="C53" s="56" t="s">
        <v>87</v>
      </c>
      <c r="D53" s="158">
        <f>D54+D55</f>
        <v>0</v>
      </c>
      <c r="E53" s="158">
        <f>E54+E55</f>
        <v>0</v>
      </c>
      <c r="F53" s="365">
        <f>F54+F55+F56</f>
        <v>19</v>
      </c>
      <c r="G53" s="365">
        <f>G54+G55+G56</f>
        <v>8</v>
      </c>
      <c r="H53" s="365">
        <f>H54+H55+H56</f>
        <v>8</v>
      </c>
      <c r="I53" s="365">
        <f>I54+I55+I56</f>
        <v>2</v>
      </c>
      <c r="J53" s="365">
        <f>J54+J55+J56</f>
        <v>1</v>
      </c>
      <c r="K53" s="250"/>
      <c r="L53" s="91"/>
      <c r="M53" s="780"/>
    </row>
    <row r="54" spans="1:13" x14ac:dyDescent="0.2">
      <c r="A54" s="689">
        <v>44</v>
      </c>
      <c r="B54" s="59" t="s">
        <v>88</v>
      </c>
      <c r="C54" s="41"/>
      <c r="D54" s="164">
        <v>0</v>
      </c>
      <c r="E54" s="164">
        <v>0</v>
      </c>
      <c r="F54" s="365">
        <f>G54+H54+I54+J54</f>
        <v>13</v>
      </c>
      <c r="G54" s="365">
        <v>5</v>
      </c>
      <c r="H54" s="365">
        <v>5</v>
      </c>
      <c r="I54" s="365">
        <f>3-1</f>
        <v>2</v>
      </c>
      <c r="J54" s="365">
        <f>3-2</f>
        <v>1</v>
      </c>
      <c r="K54" s="250"/>
      <c r="L54" s="91"/>
      <c r="M54" s="780"/>
    </row>
    <row r="55" spans="1:13" x14ac:dyDescent="0.2">
      <c r="A55" s="689">
        <v>45</v>
      </c>
      <c r="B55" s="59" t="s">
        <v>89</v>
      </c>
      <c r="C55" s="41"/>
      <c r="D55" s="164">
        <v>0</v>
      </c>
      <c r="E55" s="164">
        <v>0</v>
      </c>
      <c r="F55" s="365">
        <f>G55+H55+I55+J55</f>
        <v>6</v>
      </c>
      <c r="G55" s="365">
        <v>3</v>
      </c>
      <c r="H55" s="365">
        <v>3</v>
      </c>
      <c r="I55" s="365">
        <f>1-1</f>
        <v>0</v>
      </c>
      <c r="J55" s="365">
        <f>1-1</f>
        <v>0</v>
      </c>
      <c r="K55" s="250"/>
      <c r="L55" s="91"/>
      <c r="M55" s="780"/>
    </row>
    <row r="56" spans="1:13" hidden="1" x14ac:dyDescent="0.2">
      <c r="A56" s="689">
        <v>46</v>
      </c>
      <c r="B56" s="59" t="s">
        <v>233</v>
      </c>
      <c r="C56" s="41"/>
      <c r="D56" s="164"/>
      <c r="E56" s="164"/>
      <c r="F56" s="364"/>
      <c r="G56" s="364"/>
      <c r="H56" s="364"/>
      <c r="I56" s="364"/>
      <c r="J56" s="364"/>
      <c r="K56" s="104"/>
      <c r="L56" s="103"/>
      <c r="M56" s="781"/>
    </row>
    <row r="57" spans="1:13" hidden="1" x14ac:dyDescent="0.2">
      <c r="A57" s="689">
        <v>47</v>
      </c>
      <c r="B57" s="55" t="s">
        <v>91</v>
      </c>
      <c r="C57" s="75" t="s">
        <v>92</v>
      </c>
      <c r="D57" s="158"/>
      <c r="E57" s="158"/>
      <c r="F57" s="364"/>
      <c r="G57" s="364"/>
      <c r="H57" s="364"/>
      <c r="I57" s="364"/>
      <c r="J57" s="364"/>
      <c r="K57" s="104"/>
      <c r="L57" s="103"/>
      <c r="M57" s="781"/>
    </row>
    <row r="58" spans="1:13" x14ac:dyDescent="0.2">
      <c r="A58" s="689">
        <v>48</v>
      </c>
      <c r="B58" s="74" t="s">
        <v>93</v>
      </c>
      <c r="C58" s="56" t="s">
        <v>94</v>
      </c>
      <c r="D58" s="158">
        <v>0</v>
      </c>
      <c r="E58" s="158">
        <v>0</v>
      </c>
      <c r="F58" s="364">
        <f>G58+H58+I58+J58</f>
        <v>19</v>
      </c>
      <c r="G58" s="364">
        <v>0</v>
      </c>
      <c r="H58" s="364">
        <v>7</v>
      </c>
      <c r="I58" s="364">
        <v>7</v>
      </c>
      <c r="J58" s="364">
        <v>5</v>
      </c>
      <c r="K58" s="104"/>
      <c r="L58" s="103"/>
      <c r="M58" s="781"/>
    </row>
    <row r="59" spans="1:13" x14ac:dyDescent="0.2">
      <c r="A59" s="689">
        <v>49</v>
      </c>
      <c r="B59" s="55" t="s">
        <v>95</v>
      </c>
      <c r="C59" s="56" t="s">
        <v>96</v>
      </c>
      <c r="D59" s="158">
        <f>D62+D63</f>
        <v>0</v>
      </c>
      <c r="E59" s="158">
        <f>E62+E63+E61</f>
        <v>0</v>
      </c>
      <c r="F59" s="364">
        <f>F60+F61+F62</f>
        <v>2</v>
      </c>
      <c r="G59" s="364">
        <f>G60+G61+G62</f>
        <v>2</v>
      </c>
      <c r="H59" s="364">
        <f>H60+H61+H62</f>
        <v>0</v>
      </c>
      <c r="I59" s="364">
        <f>I60+I61+I62</f>
        <v>0</v>
      </c>
      <c r="J59" s="364">
        <f>J60+J61+J62</f>
        <v>0</v>
      </c>
      <c r="K59" s="104"/>
      <c r="L59" s="103"/>
      <c r="M59" s="781"/>
    </row>
    <row r="60" spans="1:13" hidden="1" x14ac:dyDescent="0.2">
      <c r="A60" s="689">
        <v>50</v>
      </c>
      <c r="B60" s="59" t="s">
        <v>97</v>
      </c>
      <c r="C60" s="41" t="s">
        <v>98</v>
      </c>
      <c r="D60" s="164"/>
      <c r="E60" s="164"/>
      <c r="F60" s="365">
        <f>G60+H60+I60+J60</f>
        <v>0</v>
      </c>
      <c r="G60" s="365"/>
      <c r="H60" s="365"/>
      <c r="I60" s="365"/>
      <c r="J60" s="365"/>
      <c r="K60" s="250"/>
      <c r="L60" s="91"/>
      <c r="M60" s="780"/>
    </row>
    <row r="61" spans="1:13" x14ac:dyDescent="0.2">
      <c r="A61" s="689">
        <v>51</v>
      </c>
      <c r="B61" s="59" t="s">
        <v>99</v>
      </c>
      <c r="C61" s="41" t="s">
        <v>100</v>
      </c>
      <c r="D61" s="164">
        <v>0</v>
      </c>
      <c r="E61" s="164">
        <v>0</v>
      </c>
      <c r="F61" s="365">
        <f>G61+H61+I61+J61</f>
        <v>1</v>
      </c>
      <c r="G61" s="365">
        <v>1</v>
      </c>
      <c r="H61" s="365">
        <v>0</v>
      </c>
      <c r="I61" s="365">
        <v>0</v>
      </c>
      <c r="J61" s="365">
        <v>0</v>
      </c>
      <c r="K61" s="250"/>
      <c r="L61" s="91"/>
      <c r="M61" s="780"/>
    </row>
    <row r="62" spans="1:13" x14ac:dyDescent="0.2">
      <c r="A62" s="689">
        <v>52</v>
      </c>
      <c r="B62" s="59" t="s">
        <v>101</v>
      </c>
      <c r="C62" s="41" t="s">
        <v>102</v>
      </c>
      <c r="D62" s="164">
        <v>0</v>
      </c>
      <c r="E62" s="164">
        <v>0</v>
      </c>
      <c r="F62" s="365">
        <f>G62+H62+I62+J62</f>
        <v>1</v>
      </c>
      <c r="G62" s="365">
        <v>1</v>
      </c>
      <c r="H62" s="365">
        <v>0</v>
      </c>
      <c r="I62" s="365">
        <v>0</v>
      </c>
      <c r="J62" s="365">
        <v>0</v>
      </c>
      <c r="K62" s="250"/>
      <c r="L62" s="91"/>
      <c r="M62" s="780"/>
    </row>
    <row r="63" spans="1:13" hidden="1" x14ac:dyDescent="0.2">
      <c r="A63" s="689">
        <v>53</v>
      </c>
      <c r="B63" s="59" t="s">
        <v>234</v>
      </c>
      <c r="C63" s="41" t="s">
        <v>102</v>
      </c>
      <c r="D63" s="190" t="s">
        <v>139</v>
      </c>
      <c r="E63" s="190" t="s">
        <v>139</v>
      </c>
      <c r="F63" s="365">
        <f>G63+H63+I63+J63</f>
        <v>0</v>
      </c>
      <c r="G63" s="365">
        <v>0</v>
      </c>
      <c r="H63" s="365">
        <v>0</v>
      </c>
      <c r="I63" s="365">
        <v>0</v>
      </c>
      <c r="J63" s="365">
        <v>0</v>
      </c>
      <c r="K63" s="250"/>
      <c r="L63" s="91"/>
      <c r="M63" s="780"/>
    </row>
    <row r="64" spans="1:13" x14ac:dyDescent="0.2">
      <c r="A64" s="689">
        <v>54</v>
      </c>
      <c r="B64" s="76" t="s">
        <v>104</v>
      </c>
      <c r="C64" s="56" t="s">
        <v>105</v>
      </c>
      <c r="D64" s="53">
        <f>D67+D68+D65</f>
        <v>0</v>
      </c>
      <c r="E64" s="53">
        <f>E67+E68+E65</f>
        <v>0</v>
      </c>
      <c r="F64" s="377">
        <f>F67+F68+F65</f>
        <v>48.65</v>
      </c>
      <c r="G64" s="364">
        <f>G65+G66+G67</f>
        <v>10</v>
      </c>
      <c r="H64" s="364">
        <f>H65+H66+H67</f>
        <v>34.65</v>
      </c>
      <c r="I64" s="364">
        <f>I65+I66+I67</f>
        <v>2</v>
      </c>
      <c r="J64" s="364">
        <f>J65+J66+J67</f>
        <v>2</v>
      </c>
      <c r="K64" s="104"/>
      <c r="L64" s="103"/>
      <c r="M64" s="781"/>
    </row>
    <row r="65" spans="1:13" x14ac:dyDescent="0.2">
      <c r="A65" s="689">
        <v>55</v>
      </c>
      <c r="B65" s="768" t="s">
        <v>106</v>
      </c>
      <c r="C65" s="765" t="s">
        <v>107</v>
      </c>
      <c r="D65" s="935" t="s">
        <v>139</v>
      </c>
      <c r="E65" s="935" t="s">
        <v>139</v>
      </c>
      <c r="F65" s="936">
        <f>G65+H65+I65+J65</f>
        <v>0</v>
      </c>
      <c r="G65" s="611">
        <v>0</v>
      </c>
      <c r="H65" s="611">
        <v>0</v>
      </c>
      <c r="I65" s="611">
        <v>0</v>
      </c>
      <c r="J65" s="611">
        <v>0</v>
      </c>
      <c r="K65" s="104"/>
      <c r="L65" s="103"/>
      <c r="M65" s="781"/>
    </row>
    <row r="66" spans="1:13" hidden="1" x14ac:dyDescent="0.2">
      <c r="A66" s="689">
        <v>56</v>
      </c>
      <c r="B66" s="59" t="s">
        <v>108</v>
      </c>
      <c r="C66" s="41" t="s">
        <v>109</v>
      </c>
      <c r="D66" s="252"/>
      <c r="E66" s="252" t="s">
        <v>139</v>
      </c>
      <c r="F66" s="797">
        <f>G66+H66+I66+J66</f>
        <v>0</v>
      </c>
      <c r="G66" s="365"/>
      <c r="H66" s="365"/>
      <c r="I66" s="365"/>
      <c r="J66" s="365"/>
      <c r="K66" s="250"/>
      <c r="L66" s="91"/>
      <c r="M66" s="780"/>
    </row>
    <row r="67" spans="1:13" x14ac:dyDescent="0.2">
      <c r="A67" s="689">
        <v>57</v>
      </c>
      <c r="B67" s="62" t="s">
        <v>110</v>
      </c>
      <c r="C67" s="63" t="s">
        <v>111</v>
      </c>
      <c r="D67" s="253" t="s">
        <v>139</v>
      </c>
      <c r="E67" s="253" t="s">
        <v>139</v>
      </c>
      <c r="F67" s="797">
        <f>G67+H67+I67+J67</f>
        <v>48.65</v>
      </c>
      <c r="G67" s="797">
        <v>10</v>
      </c>
      <c r="H67" s="797">
        <f>5+9.1+20.55</f>
        <v>34.65</v>
      </c>
      <c r="I67" s="797">
        <v>2</v>
      </c>
      <c r="J67" s="797">
        <v>2</v>
      </c>
      <c r="K67" s="254"/>
      <c r="L67" s="94"/>
      <c r="M67" s="782"/>
    </row>
    <row r="68" spans="1:13" hidden="1" x14ac:dyDescent="0.2">
      <c r="A68" s="689">
        <v>58</v>
      </c>
      <c r="B68" s="192" t="s">
        <v>235</v>
      </c>
      <c r="C68" s="255" t="s">
        <v>111</v>
      </c>
      <c r="D68" s="256" t="s">
        <v>139</v>
      </c>
      <c r="E68" s="256" t="s">
        <v>139</v>
      </c>
      <c r="F68" s="797">
        <f>G68+H68+I68+J68</f>
        <v>0</v>
      </c>
      <c r="G68" s="799">
        <v>0</v>
      </c>
      <c r="H68" s="799">
        <v>0</v>
      </c>
      <c r="I68" s="799">
        <v>0</v>
      </c>
      <c r="J68" s="799">
        <v>0</v>
      </c>
      <c r="K68" s="258"/>
      <c r="L68" s="259"/>
      <c r="M68" s="783"/>
    </row>
    <row r="69" spans="1:13" hidden="1" x14ac:dyDescent="0.2">
      <c r="A69" s="689">
        <v>59</v>
      </c>
      <c r="B69" s="194" t="s">
        <v>113</v>
      </c>
      <c r="C69" s="69" t="s">
        <v>114</v>
      </c>
      <c r="D69" s="37">
        <f t="shared" ref="D69:J69" si="5">D70+D71</f>
        <v>0</v>
      </c>
      <c r="E69" s="37">
        <f t="shared" si="5"/>
        <v>0</v>
      </c>
      <c r="F69" s="414">
        <f t="shared" si="5"/>
        <v>0</v>
      </c>
      <c r="G69" s="414">
        <f t="shared" si="5"/>
        <v>0</v>
      </c>
      <c r="H69" s="414">
        <f t="shared" si="5"/>
        <v>0</v>
      </c>
      <c r="I69" s="414">
        <f t="shared" si="5"/>
        <v>0</v>
      </c>
      <c r="J69" s="414">
        <f t="shared" si="5"/>
        <v>0</v>
      </c>
      <c r="K69" s="98"/>
      <c r="L69" s="97"/>
      <c r="M69" s="784"/>
    </row>
    <row r="70" spans="1:13" hidden="1" x14ac:dyDescent="0.2">
      <c r="A70" s="689">
        <v>60</v>
      </c>
      <c r="B70" s="59" t="s">
        <v>115</v>
      </c>
      <c r="C70" s="41" t="s">
        <v>116</v>
      </c>
      <c r="D70" s="252"/>
      <c r="E70" s="252"/>
      <c r="F70" s="365"/>
      <c r="G70" s="365"/>
      <c r="H70" s="365"/>
      <c r="I70" s="365"/>
      <c r="J70" s="365"/>
      <c r="K70" s="250"/>
      <c r="L70" s="91"/>
      <c r="M70" s="780"/>
    </row>
    <row r="71" spans="1:13" hidden="1" x14ac:dyDescent="0.2">
      <c r="A71" s="689">
        <v>61</v>
      </c>
      <c r="B71" s="59" t="s">
        <v>117</v>
      </c>
      <c r="C71" s="41" t="s">
        <v>118</v>
      </c>
      <c r="D71" s="252"/>
      <c r="E71" s="252"/>
      <c r="F71" s="365"/>
      <c r="G71" s="365"/>
      <c r="H71" s="365"/>
      <c r="I71" s="365"/>
      <c r="J71" s="365"/>
      <c r="K71" s="250"/>
      <c r="L71" s="91"/>
      <c r="M71" s="780"/>
    </row>
    <row r="72" spans="1:13" ht="13.5" hidden="1" thickBot="1" x14ac:dyDescent="0.25">
      <c r="A72" s="689">
        <v>62</v>
      </c>
      <c r="B72" s="195" t="s">
        <v>119</v>
      </c>
      <c r="C72" s="261" t="s">
        <v>120</v>
      </c>
      <c r="D72" s="262"/>
      <c r="E72" s="262"/>
      <c r="F72" s="418">
        <f>G72+H72+I72+J72</f>
        <v>0</v>
      </c>
      <c r="G72" s="418">
        <v>0</v>
      </c>
      <c r="H72" s="418">
        <f>1-1</f>
        <v>0</v>
      </c>
      <c r="I72" s="418">
        <v>0</v>
      </c>
      <c r="J72" s="418">
        <v>0</v>
      </c>
      <c r="K72" s="131"/>
      <c r="L72" s="132"/>
      <c r="M72" s="785"/>
    </row>
    <row r="73" spans="1:13" hidden="1" x14ac:dyDescent="0.2">
      <c r="A73" s="689">
        <v>63</v>
      </c>
      <c r="B73" s="35" t="s">
        <v>121</v>
      </c>
      <c r="C73" s="69" t="s">
        <v>122</v>
      </c>
      <c r="D73" s="260"/>
      <c r="E73" s="260"/>
      <c r="F73" s="414"/>
      <c r="G73" s="414"/>
      <c r="H73" s="414"/>
      <c r="I73" s="414"/>
      <c r="J73" s="414"/>
      <c r="K73" s="98"/>
      <c r="L73" s="97"/>
      <c r="M73" s="784"/>
    </row>
    <row r="74" spans="1:13" hidden="1" x14ac:dyDescent="0.2">
      <c r="A74" s="689">
        <v>64</v>
      </c>
      <c r="B74" s="55" t="s">
        <v>123</v>
      </c>
      <c r="C74" s="56" t="s">
        <v>124</v>
      </c>
      <c r="D74" s="263"/>
      <c r="E74" s="263"/>
      <c r="F74" s="364"/>
      <c r="G74" s="364"/>
      <c r="H74" s="364"/>
      <c r="I74" s="364"/>
      <c r="J74" s="364"/>
      <c r="K74" s="104"/>
      <c r="L74" s="103"/>
      <c r="M74" s="781"/>
    </row>
    <row r="75" spans="1:13" hidden="1" x14ac:dyDescent="0.2">
      <c r="A75" s="689">
        <v>65</v>
      </c>
      <c r="B75" s="55" t="s">
        <v>125</v>
      </c>
      <c r="C75" s="56" t="s">
        <v>126</v>
      </c>
      <c r="D75" s="263"/>
      <c r="E75" s="263"/>
      <c r="F75" s="364"/>
      <c r="G75" s="364"/>
      <c r="H75" s="364"/>
      <c r="I75" s="364"/>
      <c r="J75" s="364"/>
      <c r="K75" s="104"/>
      <c r="L75" s="103"/>
      <c r="M75" s="781"/>
    </row>
    <row r="76" spans="1:13" x14ac:dyDescent="0.2">
      <c r="A76" s="689">
        <v>66</v>
      </c>
      <c r="B76" s="55" t="s">
        <v>127</v>
      </c>
      <c r="C76" s="56" t="s">
        <v>128</v>
      </c>
      <c r="D76" s="377">
        <f t="shared" ref="D76:J76" si="6">D77+D78</f>
        <v>0</v>
      </c>
      <c r="E76" s="377">
        <f t="shared" si="6"/>
        <v>0</v>
      </c>
      <c r="F76" s="377">
        <f t="shared" si="6"/>
        <v>40</v>
      </c>
      <c r="G76" s="377">
        <f t="shared" si="6"/>
        <v>26</v>
      </c>
      <c r="H76" s="377">
        <f t="shared" si="6"/>
        <v>14</v>
      </c>
      <c r="I76" s="377">
        <f t="shared" si="6"/>
        <v>0</v>
      </c>
      <c r="J76" s="377">
        <f t="shared" si="6"/>
        <v>0</v>
      </c>
      <c r="K76" s="104"/>
      <c r="L76" s="103"/>
      <c r="M76" s="781"/>
    </row>
    <row r="77" spans="1:13" hidden="1" x14ac:dyDescent="0.2">
      <c r="A77" s="689">
        <v>67</v>
      </c>
      <c r="B77" s="59" t="s">
        <v>129</v>
      </c>
      <c r="C77" s="41" t="s">
        <v>130</v>
      </c>
      <c r="D77" s="53"/>
      <c r="E77" s="53"/>
      <c r="F77" s="364">
        <f>G77+H77+I77+J77</f>
        <v>0</v>
      </c>
      <c r="G77" s="364"/>
      <c r="H77" s="364"/>
      <c r="I77" s="364"/>
      <c r="J77" s="364"/>
      <c r="K77" s="104"/>
      <c r="L77" s="103"/>
      <c r="M77" s="781"/>
    </row>
    <row r="78" spans="1:13" x14ac:dyDescent="0.2">
      <c r="A78" s="689">
        <v>68</v>
      </c>
      <c r="B78" s="59" t="s">
        <v>131</v>
      </c>
      <c r="C78" s="56" t="s">
        <v>132</v>
      </c>
      <c r="D78" s="377">
        <f t="shared" ref="D78:J78" si="7">D79+D80+D81+D82+D85+D86</f>
        <v>0</v>
      </c>
      <c r="E78" s="377">
        <f t="shared" si="7"/>
        <v>0</v>
      </c>
      <c r="F78" s="377">
        <f t="shared" si="7"/>
        <v>40</v>
      </c>
      <c r="G78" s="377">
        <f t="shared" si="7"/>
        <v>26</v>
      </c>
      <c r="H78" s="377">
        <f t="shared" si="7"/>
        <v>14</v>
      </c>
      <c r="I78" s="377">
        <f t="shared" si="7"/>
        <v>0</v>
      </c>
      <c r="J78" s="377">
        <f t="shared" si="7"/>
        <v>0</v>
      </c>
      <c r="K78" s="250"/>
      <c r="L78" s="91"/>
      <c r="M78" s="780"/>
    </row>
    <row r="79" spans="1:13" hidden="1" x14ac:dyDescent="0.2">
      <c r="A79" s="689">
        <v>69</v>
      </c>
      <c r="B79" s="59" t="s">
        <v>133</v>
      </c>
      <c r="C79" s="41"/>
      <c r="D79" s="252"/>
      <c r="E79" s="252"/>
      <c r="F79" s="365"/>
      <c r="G79" s="365"/>
      <c r="H79" s="365"/>
      <c r="I79" s="365"/>
      <c r="J79" s="365"/>
      <c r="K79" s="250"/>
      <c r="L79" s="91"/>
      <c r="M79" s="780"/>
    </row>
    <row r="80" spans="1:13" hidden="1" x14ac:dyDescent="0.2">
      <c r="A80" s="689">
        <v>70</v>
      </c>
      <c r="B80" s="59" t="s">
        <v>244</v>
      </c>
      <c r="C80" s="41"/>
      <c r="D80" s="252"/>
      <c r="E80" s="252"/>
      <c r="F80" s="365"/>
      <c r="G80" s="365"/>
      <c r="H80" s="365"/>
      <c r="I80" s="365"/>
      <c r="J80" s="365"/>
      <c r="K80" s="250"/>
      <c r="L80" s="91"/>
      <c r="M80" s="780"/>
    </row>
    <row r="81" spans="1:13" x14ac:dyDescent="0.2">
      <c r="A81" s="689">
        <v>71</v>
      </c>
      <c r="B81" s="59" t="s">
        <v>337</v>
      </c>
      <c r="C81" s="63"/>
      <c r="D81" s="253" t="s">
        <v>139</v>
      </c>
      <c r="E81" s="253" t="s">
        <v>139</v>
      </c>
      <c r="F81" s="800">
        <f t="shared" ref="F81:F86" si="8">G81+H81+I81+J81</f>
        <v>34</v>
      </c>
      <c r="G81" s="797">
        <v>20</v>
      </c>
      <c r="H81" s="797">
        <v>14</v>
      </c>
      <c r="I81" s="797">
        <v>0</v>
      </c>
      <c r="J81" s="797">
        <v>0</v>
      </c>
      <c r="K81" s="250"/>
      <c r="L81" s="91"/>
      <c r="M81" s="780"/>
    </row>
    <row r="82" spans="1:13" hidden="1" x14ac:dyDescent="0.2">
      <c r="A82" s="689">
        <v>72</v>
      </c>
      <c r="B82" s="757" t="s">
        <v>349</v>
      </c>
      <c r="C82" s="646"/>
      <c r="D82" s="763" t="s">
        <v>139</v>
      </c>
      <c r="E82" s="763" t="s">
        <v>139</v>
      </c>
      <c r="F82" s="800">
        <f t="shared" si="8"/>
        <v>0</v>
      </c>
      <c r="G82" s="800">
        <v>0</v>
      </c>
      <c r="H82" s="800">
        <v>0</v>
      </c>
      <c r="I82" s="800">
        <v>0</v>
      </c>
      <c r="J82" s="800">
        <v>0</v>
      </c>
      <c r="K82" s="760"/>
      <c r="L82" s="94"/>
      <c r="M82" s="782"/>
    </row>
    <row r="83" spans="1:13" hidden="1" x14ac:dyDescent="0.2">
      <c r="A83" s="689">
        <v>73</v>
      </c>
      <c r="B83" s="758" t="s">
        <v>135</v>
      </c>
      <c r="C83" s="646"/>
      <c r="D83" s="646"/>
      <c r="E83" s="646"/>
      <c r="F83" s="800">
        <f t="shared" si="8"/>
        <v>0</v>
      </c>
      <c r="G83" s="800"/>
      <c r="H83" s="800"/>
      <c r="I83" s="800"/>
      <c r="J83" s="800"/>
      <c r="K83" s="761"/>
      <c r="L83" s="259"/>
      <c r="M83" s="783"/>
    </row>
    <row r="84" spans="1:13" hidden="1" x14ac:dyDescent="0.2">
      <c r="A84" s="689">
        <v>74</v>
      </c>
      <c r="B84" s="759" t="s">
        <v>239</v>
      </c>
      <c r="C84" s="646"/>
      <c r="D84" s="646"/>
      <c r="E84" s="646"/>
      <c r="F84" s="800">
        <f t="shared" si="8"/>
        <v>0</v>
      </c>
      <c r="G84" s="800"/>
      <c r="H84" s="800"/>
      <c r="I84" s="800"/>
      <c r="J84" s="800"/>
      <c r="K84" s="297"/>
      <c r="L84" s="91"/>
      <c r="M84" s="780"/>
    </row>
    <row r="85" spans="1:13" x14ac:dyDescent="0.2">
      <c r="A85" s="689">
        <v>75</v>
      </c>
      <c r="B85" s="759" t="s">
        <v>350</v>
      </c>
      <c r="C85" s="646"/>
      <c r="D85" s="763" t="s">
        <v>139</v>
      </c>
      <c r="E85" s="763" t="s">
        <v>139</v>
      </c>
      <c r="F85" s="800">
        <f t="shared" si="8"/>
        <v>6</v>
      </c>
      <c r="G85" s="800">
        <v>6</v>
      </c>
      <c r="H85" s="800">
        <v>0</v>
      </c>
      <c r="I85" s="800">
        <v>0</v>
      </c>
      <c r="J85" s="800">
        <v>0</v>
      </c>
      <c r="K85" s="762"/>
      <c r="L85" s="88"/>
      <c r="M85" s="788"/>
    </row>
    <row r="86" spans="1:13" ht="13.5" hidden="1" thickBot="1" x14ac:dyDescent="0.25">
      <c r="A86" s="689">
        <v>76</v>
      </c>
      <c r="B86" s="861" t="s">
        <v>351</v>
      </c>
      <c r="C86" s="790"/>
      <c r="D86" s="790"/>
      <c r="E86" s="791" t="s">
        <v>139</v>
      </c>
      <c r="F86" s="815">
        <f t="shared" si="8"/>
        <v>0</v>
      </c>
      <c r="G86" s="815">
        <v>0</v>
      </c>
      <c r="H86" s="815">
        <v>0</v>
      </c>
      <c r="I86" s="815">
        <v>0</v>
      </c>
      <c r="J86" s="815">
        <v>0</v>
      </c>
      <c r="K86" s="793"/>
      <c r="L86" s="794"/>
      <c r="M86" s="795"/>
    </row>
    <row r="87" spans="1:13" hidden="1" x14ac:dyDescent="0.2">
      <c r="A87" s="689">
        <v>77</v>
      </c>
      <c r="B87" s="85" t="s">
        <v>138</v>
      </c>
      <c r="C87" s="86"/>
      <c r="D87" s="87"/>
      <c r="E87" s="87"/>
      <c r="F87" s="167"/>
      <c r="G87" s="167"/>
      <c r="H87" s="167"/>
      <c r="I87" s="167"/>
      <c r="J87" s="167"/>
      <c r="K87" s="89"/>
      <c r="L87" s="88"/>
      <c r="M87" s="269"/>
    </row>
    <row r="88" spans="1:13" ht="25.5" hidden="1" x14ac:dyDescent="0.2">
      <c r="A88" s="689">
        <v>78</v>
      </c>
      <c r="B88" s="197" t="s">
        <v>140</v>
      </c>
      <c r="C88" s="69" t="s">
        <v>141</v>
      </c>
      <c r="D88" s="96"/>
      <c r="E88" s="96"/>
      <c r="F88" s="37"/>
      <c r="G88" s="37"/>
      <c r="H88" s="37"/>
      <c r="I88" s="37"/>
      <c r="J88" s="37"/>
      <c r="K88" s="98"/>
      <c r="L88" s="97"/>
      <c r="M88" s="99"/>
    </row>
    <row r="89" spans="1:13" ht="38.25" hidden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43"/>
      <c r="G89" s="43"/>
      <c r="H89" s="43"/>
      <c r="I89" s="43"/>
      <c r="J89" s="43"/>
      <c r="K89" s="104"/>
      <c r="L89" s="103"/>
      <c r="M89" s="105"/>
    </row>
    <row r="90" spans="1:13" ht="13.5" hidden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174"/>
      <c r="G90" s="174"/>
      <c r="H90" s="174"/>
      <c r="I90" s="174"/>
      <c r="J90" s="174"/>
      <c r="K90" s="109"/>
      <c r="L90" s="108"/>
      <c r="M90" s="110"/>
    </row>
    <row r="91" spans="1:13" hidden="1" x14ac:dyDescent="0.2">
      <c r="A91" s="689">
        <v>81</v>
      </c>
      <c r="B91" s="35" t="s">
        <v>146</v>
      </c>
      <c r="C91" s="69" t="s">
        <v>147</v>
      </c>
      <c r="D91" s="96"/>
      <c r="E91" s="96"/>
      <c r="F91" s="175"/>
      <c r="G91" s="175"/>
      <c r="H91" s="175"/>
      <c r="I91" s="175"/>
      <c r="J91" s="175"/>
      <c r="K91" s="112"/>
      <c r="L91" s="111"/>
      <c r="M91" s="113"/>
    </row>
    <row r="92" spans="1:13" hidden="1" x14ac:dyDescent="0.2">
      <c r="A92" s="689">
        <v>82</v>
      </c>
      <c r="B92" s="55" t="s">
        <v>148</v>
      </c>
      <c r="C92" s="56" t="s">
        <v>149</v>
      </c>
      <c r="D92" s="53">
        <f t="shared" ref="D92:J92" si="9">D93</f>
        <v>0</v>
      </c>
      <c r="E92" s="53" t="str">
        <f t="shared" si="9"/>
        <v>0</v>
      </c>
      <c r="F92" s="43">
        <f t="shared" si="9"/>
        <v>0</v>
      </c>
      <c r="G92" s="43">
        <f t="shared" si="9"/>
        <v>0</v>
      </c>
      <c r="H92" s="43">
        <f t="shared" si="9"/>
        <v>0</v>
      </c>
      <c r="I92" s="43">
        <f t="shared" si="9"/>
        <v>0</v>
      </c>
      <c r="J92" s="43">
        <f t="shared" si="9"/>
        <v>0</v>
      </c>
      <c r="K92" s="104"/>
      <c r="L92" s="103"/>
      <c r="M92" s="105"/>
    </row>
    <row r="93" spans="1:13" hidden="1" x14ac:dyDescent="0.2">
      <c r="A93" s="689">
        <v>83</v>
      </c>
      <c r="B93" s="115" t="s">
        <v>150</v>
      </c>
      <c r="C93" s="56" t="s">
        <v>151</v>
      </c>
      <c r="D93" s="53">
        <f>D94</f>
        <v>0</v>
      </c>
      <c r="E93" s="53" t="str">
        <f>E94</f>
        <v>0</v>
      </c>
      <c r="F93" s="43">
        <f>F94+F107</f>
        <v>0</v>
      </c>
      <c r="G93" s="43">
        <f>G94+G107</f>
        <v>0</v>
      </c>
      <c r="H93" s="43">
        <f>H94+H107</f>
        <v>0</v>
      </c>
      <c r="I93" s="43">
        <f>I94+I107</f>
        <v>0</v>
      </c>
      <c r="J93" s="43">
        <f>J94+J107</f>
        <v>0</v>
      </c>
      <c r="K93" s="104"/>
      <c r="L93" s="103"/>
      <c r="M93" s="105"/>
    </row>
    <row r="94" spans="1:13" hidden="1" x14ac:dyDescent="0.2">
      <c r="A94" s="689">
        <v>84</v>
      </c>
      <c r="B94" s="115" t="s">
        <v>152</v>
      </c>
      <c r="C94" s="56" t="s">
        <v>153</v>
      </c>
      <c r="D94" s="53">
        <v>0</v>
      </c>
      <c r="E94" s="53" t="str">
        <f>E102</f>
        <v>0</v>
      </c>
      <c r="F94" s="43">
        <f>F95+F96+F97+F98+F100+F101+F102</f>
        <v>0</v>
      </c>
      <c r="G94" s="43">
        <f>G95+G96+G97+G98+G100+G101+G102</f>
        <v>0</v>
      </c>
      <c r="H94" s="43">
        <f>H95+H96+H97+H98+H100+H101+H102</f>
        <v>0</v>
      </c>
      <c r="I94" s="43">
        <f>I95+I96+I97+I98+I100+I101+I102</f>
        <v>0</v>
      </c>
      <c r="J94" s="43">
        <f>J95+J96+J97+J98+J100+J101+J102</f>
        <v>0</v>
      </c>
      <c r="K94" s="104"/>
      <c r="L94" s="103"/>
      <c r="M94" s="105"/>
    </row>
    <row r="95" spans="1:13" hidden="1" x14ac:dyDescent="0.2">
      <c r="A95" s="689">
        <v>85</v>
      </c>
      <c r="B95" s="116" t="s">
        <v>154</v>
      </c>
      <c r="C95" s="41"/>
      <c r="D95" s="252"/>
      <c r="E95" s="252"/>
      <c r="F95" s="43"/>
      <c r="G95" s="43"/>
      <c r="H95" s="43"/>
      <c r="I95" s="43"/>
      <c r="J95" s="43"/>
      <c r="K95" s="118"/>
      <c r="L95" s="103"/>
      <c r="M95" s="105"/>
    </row>
    <row r="96" spans="1:13" hidden="1" x14ac:dyDescent="0.2">
      <c r="A96" s="689">
        <v>86</v>
      </c>
      <c r="B96" s="116" t="s">
        <v>155</v>
      </c>
      <c r="C96" s="41"/>
      <c r="D96" s="252"/>
      <c r="E96" s="252"/>
      <c r="F96" s="43"/>
      <c r="G96" s="43"/>
      <c r="H96" s="43"/>
      <c r="I96" s="43"/>
      <c r="J96" s="43"/>
      <c r="K96" s="118"/>
      <c r="L96" s="103"/>
      <c r="M96" s="105"/>
    </row>
    <row r="97" spans="1:13" hidden="1" x14ac:dyDescent="0.2">
      <c r="A97" s="689">
        <v>87</v>
      </c>
      <c r="B97" s="116" t="s">
        <v>156</v>
      </c>
      <c r="C97" s="41"/>
      <c r="D97" s="252"/>
      <c r="E97" s="252"/>
      <c r="F97" s="43"/>
      <c r="G97" s="43"/>
      <c r="H97" s="43"/>
      <c r="I97" s="43"/>
      <c r="J97" s="43"/>
      <c r="K97" s="118"/>
      <c r="L97" s="103"/>
      <c r="M97" s="105"/>
    </row>
    <row r="98" spans="1:13" hidden="1" x14ac:dyDescent="0.2">
      <c r="A98" s="689">
        <v>88</v>
      </c>
      <c r="B98" s="119" t="s">
        <v>157</v>
      </c>
      <c r="C98" s="41"/>
      <c r="D98" s="252"/>
      <c r="E98" s="252"/>
      <c r="F98" s="43"/>
      <c r="G98" s="43"/>
      <c r="H98" s="43"/>
      <c r="I98" s="43"/>
      <c r="J98" s="43"/>
      <c r="K98" s="118"/>
      <c r="L98" s="103"/>
      <c r="M98" s="105"/>
    </row>
    <row r="99" spans="1:13" hidden="1" x14ac:dyDescent="0.2">
      <c r="A99" s="689">
        <v>89</v>
      </c>
      <c r="B99" s="120" t="s">
        <v>158</v>
      </c>
      <c r="C99" s="41"/>
      <c r="D99" s="252"/>
      <c r="E99" s="252"/>
      <c r="F99" s="43"/>
      <c r="G99" s="43"/>
      <c r="H99" s="43"/>
      <c r="I99" s="43"/>
      <c r="J99" s="43"/>
      <c r="K99" s="118"/>
      <c r="L99" s="103"/>
      <c r="M99" s="105"/>
    </row>
    <row r="100" spans="1:13" hidden="1" x14ac:dyDescent="0.2">
      <c r="A100" s="689">
        <v>90</v>
      </c>
      <c r="B100" s="121" t="s">
        <v>159</v>
      </c>
      <c r="C100" s="41"/>
      <c r="D100" s="252"/>
      <c r="E100" s="252"/>
      <c r="F100" s="43"/>
      <c r="G100" s="43"/>
      <c r="H100" s="43"/>
      <c r="I100" s="43"/>
      <c r="J100" s="43"/>
      <c r="K100" s="118"/>
      <c r="L100" s="103"/>
      <c r="M100" s="105"/>
    </row>
    <row r="101" spans="1:13" hidden="1" x14ac:dyDescent="0.2">
      <c r="A101" s="689">
        <v>91</v>
      </c>
      <c r="B101" s="122" t="s">
        <v>160</v>
      </c>
      <c r="C101" s="41"/>
      <c r="D101" s="252"/>
      <c r="E101" s="252"/>
      <c r="F101" s="43"/>
      <c r="G101" s="43"/>
      <c r="H101" s="43"/>
      <c r="I101" s="43"/>
      <c r="J101" s="43"/>
      <c r="K101" s="118"/>
      <c r="L101" s="103"/>
      <c r="M101" s="105"/>
    </row>
    <row r="102" spans="1:13" ht="13.5" hidden="1" thickBot="1" x14ac:dyDescent="0.25">
      <c r="A102" s="689">
        <v>92</v>
      </c>
      <c r="B102" s="177" t="s">
        <v>161</v>
      </c>
      <c r="C102" s="81"/>
      <c r="D102" s="264" t="s">
        <v>139</v>
      </c>
      <c r="E102" s="264" t="s">
        <v>139</v>
      </c>
      <c r="F102" s="130">
        <f>G102+H102+I102+J102</f>
        <v>0</v>
      </c>
      <c r="G102" s="130"/>
      <c r="H102" s="130"/>
      <c r="I102" s="130"/>
      <c r="J102" s="130"/>
      <c r="K102" s="131"/>
      <c r="L102" s="132"/>
      <c r="M102" s="133"/>
    </row>
    <row r="103" spans="1:13" hidden="1" x14ac:dyDescent="0.2">
      <c r="A103" s="689">
        <v>93</v>
      </c>
      <c r="B103" s="4" t="s">
        <v>162</v>
      </c>
      <c r="C103" s="92"/>
      <c r="D103" s="274"/>
      <c r="E103" s="274"/>
      <c r="F103" s="275"/>
      <c r="G103" s="275"/>
      <c r="H103" s="275"/>
      <c r="I103" s="275"/>
      <c r="J103" s="275"/>
      <c r="K103" s="276"/>
      <c r="L103" s="277"/>
      <c r="M103" s="278"/>
    </row>
    <row r="104" spans="1:13" hidden="1" x14ac:dyDescent="0.2">
      <c r="A104" s="689">
        <v>94</v>
      </c>
      <c r="B104" s="122" t="s">
        <v>163</v>
      </c>
      <c r="C104" s="92"/>
      <c r="D104" s="274"/>
      <c r="E104" s="274"/>
      <c r="F104" s="275"/>
      <c r="G104" s="275"/>
      <c r="H104" s="275"/>
      <c r="I104" s="275"/>
      <c r="J104" s="275"/>
      <c r="K104" s="276"/>
      <c r="L104" s="277"/>
      <c r="M104" s="278"/>
    </row>
    <row r="105" spans="1:13" hidden="1" x14ac:dyDescent="0.2">
      <c r="A105" s="689">
        <v>95</v>
      </c>
      <c r="B105" s="122" t="s">
        <v>164</v>
      </c>
      <c r="C105" s="92"/>
      <c r="D105" s="274"/>
      <c r="E105" s="274"/>
      <c r="F105" s="275"/>
      <c r="G105" s="275"/>
      <c r="H105" s="275"/>
      <c r="I105" s="275"/>
      <c r="J105" s="275"/>
      <c r="K105" s="276"/>
      <c r="L105" s="277"/>
      <c r="M105" s="278"/>
    </row>
    <row r="106" spans="1:13" hidden="1" x14ac:dyDescent="0.2">
      <c r="A106" s="689">
        <v>96</v>
      </c>
      <c r="B106" s="213"/>
      <c r="C106" s="92"/>
      <c r="D106" s="274"/>
      <c r="E106" s="274"/>
      <c r="F106" s="275"/>
      <c r="G106" s="275"/>
      <c r="H106" s="275"/>
      <c r="I106" s="275"/>
      <c r="J106" s="275"/>
      <c r="K106" s="276"/>
      <c r="L106" s="277"/>
      <c r="M106" s="278"/>
    </row>
    <row r="107" spans="1:13" hidden="1" x14ac:dyDescent="0.2">
      <c r="A107" s="689">
        <v>97</v>
      </c>
      <c r="B107" s="218" t="s">
        <v>165</v>
      </c>
      <c r="C107" s="69" t="s">
        <v>166</v>
      </c>
      <c r="D107" s="96"/>
      <c r="E107" s="96"/>
      <c r="F107" s="37">
        <f>F108+F109+F110</f>
        <v>0</v>
      </c>
      <c r="G107" s="37">
        <f>G108+G109+G110</f>
        <v>0</v>
      </c>
      <c r="H107" s="37">
        <f>H108+H109+H110</f>
        <v>0</v>
      </c>
      <c r="I107" s="37">
        <f>I108+I109+I110</f>
        <v>0</v>
      </c>
      <c r="J107" s="37">
        <f>J108+J109+J110</f>
        <v>0</v>
      </c>
      <c r="K107" s="98"/>
      <c r="L107" s="97"/>
      <c r="M107" s="99"/>
    </row>
    <row r="108" spans="1:13" hidden="1" x14ac:dyDescent="0.2">
      <c r="A108" s="689">
        <v>98</v>
      </c>
      <c r="B108" s="124" t="s">
        <v>167</v>
      </c>
      <c r="C108" s="41"/>
      <c r="D108" s="117"/>
      <c r="E108" s="117"/>
      <c r="F108" s="43"/>
      <c r="G108" s="43"/>
      <c r="H108" s="43"/>
      <c r="I108" s="43"/>
      <c r="J108" s="43"/>
      <c r="K108" s="118"/>
      <c r="L108" s="103"/>
      <c r="M108" s="105"/>
    </row>
    <row r="109" spans="1:13" hidden="1" x14ac:dyDescent="0.2">
      <c r="A109" s="689">
        <v>99</v>
      </c>
      <c r="B109" s="125" t="s">
        <v>168</v>
      </c>
      <c r="C109" s="41"/>
      <c r="D109" s="117"/>
      <c r="E109" s="117"/>
      <c r="F109" s="43"/>
      <c r="G109" s="43"/>
      <c r="H109" s="43"/>
      <c r="I109" s="43"/>
      <c r="J109" s="43"/>
      <c r="K109" s="118"/>
      <c r="L109" s="103"/>
      <c r="M109" s="105"/>
    </row>
    <row r="110" spans="1:13" hidden="1" x14ac:dyDescent="0.2">
      <c r="A110" s="689">
        <v>100</v>
      </c>
      <c r="B110" s="116" t="s">
        <v>169</v>
      </c>
      <c r="C110" s="41"/>
      <c r="D110" s="117"/>
      <c r="E110" s="117"/>
      <c r="F110" s="43"/>
      <c r="G110" s="43"/>
      <c r="H110" s="43"/>
      <c r="I110" s="43"/>
      <c r="J110" s="43"/>
      <c r="K110" s="118"/>
      <c r="L110" s="103"/>
      <c r="M110" s="105"/>
    </row>
    <row r="111" spans="1:13" hidden="1" x14ac:dyDescent="0.2">
      <c r="A111" s="689">
        <v>101</v>
      </c>
      <c r="B111" s="116" t="s">
        <v>170</v>
      </c>
      <c r="C111" s="41"/>
      <c r="D111" s="117"/>
      <c r="E111" s="117"/>
      <c r="F111" s="43"/>
      <c r="G111" s="43"/>
      <c r="H111" s="43"/>
      <c r="I111" s="43"/>
      <c r="J111" s="43"/>
      <c r="K111" s="104"/>
      <c r="L111" s="103"/>
      <c r="M111" s="105"/>
    </row>
    <row r="112" spans="1:13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43">
        <f>F117</f>
        <v>0</v>
      </c>
      <c r="G112" s="43">
        <f>G117</f>
        <v>0</v>
      </c>
      <c r="H112" s="43">
        <f>H117</f>
        <v>0</v>
      </c>
      <c r="I112" s="43">
        <f>I117</f>
        <v>0</v>
      </c>
      <c r="J112" s="43">
        <f>J117</f>
        <v>0</v>
      </c>
      <c r="K112" s="104"/>
      <c r="L112" s="103"/>
      <c r="M112" s="105"/>
    </row>
    <row r="113" spans="1:13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43"/>
      <c r="G113" s="43"/>
      <c r="H113" s="43"/>
      <c r="I113" s="43"/>
      <c r="J113" s="43"/>
      <c r="K113" s="118"/>
      <c r="L113" s="103"/>
      <c r="M113" s="105"/>
    </row>
    <row r="114" spans="1:13" hidden="1" x14ac:dyDescent="0.2">
      <c r="A114" s="689">
        <v>104</v>
      </c>
      <c r="B114" s="73" t="s">
        <v>174</v>
      </c>
      <c r="C114" s="56"/>
      <c r="D114" s="114"/>
      <c r="E114" s="114"/>
      <c r="F114" s="43"/>
      <c r="G114" s="43"/>
      <c r="H114" s="43"/>
      <c r="I114" s="43"/>
      <c r="J114" s="43"/>
      <c r="K114" s="118"/>
      <c r="L114" s="103"/>
      <c r="M114" s="105"/>
    </row>
    <row r="115" spans="1:13" hidden="1" x14ac:dyDescent="0.2">
      <c r="A115" s="689">
        <v>105</v>
      </c>
      <c r="B115" s="73" t="s">
        <v>175</v>
      </c>
      <c r="C115" s="56"/>
      <c r="D115" s="114"/>
      <c r="E115" s="114"/>
      <c r="F115" s="43"/>
      <c r="G115" s="43"/>
      <c r="H115" s="43"/>
      <c r="I115" s="43"/>
      <c r="J115" s="43"/>
      <c r="K115" s="118"/>
      <c r="L115" s="103"/>
      <c r="M115" s="105"/>
    </row>
    <row r="116" spans="1:13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43"/>
      <c r="G116" s="43"/>
      <c r="H116" s="43"/>
      <c r="I116" s="43"/>
      <c r="J116" s="43"/>
      <c r="K116" s="118"/>
      <c r="L116" s="103"/>
      <c r="M116" s="105"/>
    </row>
    <row r="117" spans="1:13" ht="26.25" hidden="1" thickBot="1" x14ac:dyDescent="0.25">
      <c r="A117" s="689">
        <v>107</v>
      </c>
      <c r="B117" s="127" t="s">
        <v>178</v>
      </c>
      <c r="C117" s="128" t="s">
        <v>179</v>
      </c>
      <c r="D117" s="129"/>
      <c r="E117" s="129"/>
      <c r="F117" s="130">
        <f>G117+H117+I117+J117</f>
        <v>0</v>
      </c>
      <c r="G117" s="130"/>
      <c r="H117" s="130"/>
      <c r="I117" s="130"/>
      <c r="J117" s="130"/>
      <c r="K117" s="131"/>
      <c r="L117" s="132"/>
      <c r="M117" s="133"/>
    </row>
    <row r="118" spans="1:13" hidden="1" x14ac:dyDescent="0.2">
      <c r="A118" s="689">
        <v>108</v>
      </c>
      <c r="B118" s="24" t="s">
        <v>180</v>
      </c>
      <c r="C118" s="25"/>
      <c r="D118" s="134"/>
      <c r="E118" s="134"/>
      <c r="F118" s="37">
        <f>F132</f>
        <v>0</v>
      </c>
      <c r="G118" s="37">
        <f>G132</f>
        <v>0</v>
      </c>
      <c r="H118" s="37">
        <f>H132</f>
        <v>0</v>
      </c>
      <c r="I118" s="37">
        <f>I132</f>
        <v>0</v>
      </c>
      <c r="J118" s="37">
        <f>J132</f>
        <v>0</v>
      </c>
      <c r="K118" s="98"/>
      <c r="L118" s="97"/>
      <c r="M118" s="99"/>
    </row>
    <row r="119" spans="1:13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43"/>
      <c r="G119" s="43"/>
      <c r="H119" s="43"/>
      <c r="I119" s="43"/>
      <c r="J119" s="43"/>
      <c r="K119" s="118"/>
      <c r="L119" s="103"/>
      <c r="M119" s="105"/>
    </row>
    <row r="120" spans="1:13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43"/>
      <c r="G120" s="43"/>
      <c r="H120" s="43"/>
      <c r="I120" s="43"/>
      <c r="J120" s="43"/>
      <c r="K120" s="118"/>
      <c r="L120" s="103"/>
      <c r="M120" s="105"/>
    </row>
    <row r="121" spans="1:13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43"/>
      <c r="G121" s="43"/>
      <c r="H121" s="43"/>
      <c r="I121" s="43"/>
      <c r="J121" s="43"/>
      <c r="K121" s="118"/>
      <c r="L121" s="103"/>
      <c r="M121" s="105"/>
    </row>
    <row r="122" spans="1:13" hidden="1" x14ac:dyDescent="0.2">
      <c r="A122" s="689">
        <v>112</v>
      </c>
      <c r="B122" s="138" t="s">
        <v>187</v>
      </c>
      <c r="C122" s="56" t="s">
        <v>188</v>
      </c>
      <c r="D122" s="117"/>
      <c r="E122" s="117"/>
      <c r="F122" s="43"/>
      <c r="G122" s="43"/>
      <c r="H122" s="43"/>
      <c r="I122" s="43"/>
      <c r="J122" s="43"/>
      <c r="K122" s="104"/>
      <c r="L122" s="103"/>
      <c r="M122" s="105"/>
    </row>
    <row r="123" spans="1:13" hidden="1" x14ac:dyDescent="0.2">
      <c r="A123" s="689">
        <v>113</v>
      </c>
      <c r="B123" s="138" t="s">
        <v>189</v>
      </c>
      <c r="C123" s="56" t="s">
        <v>190</v>
      </c>
      <c r="D123" s="117"/>
      <c r="E123" s="117"/>
      <c r="F123" s="43"/>
      <c r="G123" s="43"/>
      <c r="H123" s="43"/>
      <c r="I123" s="43"/>
      <c r="J123" s="43"/>
      <c r="K123" s="104"/>
      <c r="L123" s="103"/>
      <c r="M123" s="105"/>
    </row>
    <row r="124" spans="1:13" hidden="1" x14ac:dyDescent="0.2">
      <c r="A124" s="689">
        <v>114</v>
      </c>
      <c r="B124" s="138" t="s">
        <v>191</v>
      </c>
      <c r="C124" s="41" t="s">
        <v>192</v>
      </c>
      <c r="D124" s="117"/>
      <c r="E124" s="117"/>
      <c r="F124" s="43"/>
      <c r="G124" s="43"/>
      <c r="H124" s="43"/>
      <c r="I124" s="43"/>
      <c r="J124" s="43"/>
      <c r="K124" s="104"/>
      <c r="L124" s="103"/>
      <c r="M124" s="105"/>
    </row>
    <row r="125" spans="1:13" hidden="1" x14ac:dyDescent="0.2">
      <c r="A125" s="689">
        <v>115</v>
      </c>
      <c r="B125" s="138" t="s">
        <v>193</v>
      </c>
      <c r="C125" s="56" t="s">
        <v>194</v>
      </c>
      <c r="D125" s="117"/>
      <c r="E125" s="117"/>
      <c r="F125" s="43"/>
      <c r="G125" s="43"/>
      <c r="H125" s="43"/>
      <c r="I125" s="43"/>
      <c r="J125" s="43"/>
      <c r="K125" s="104"/>
      <c r="L125" s="103"/>
      <c r="M125" s="105"/>
    </row>
    <row r="126" spans="1:13" hidden="1" x14ac:dyDescent="0.2">
      <c r="A126" s="689">
        <v>116</v>
      </c>
      <c r="B126" s="138" t="s">
        <v>195</v>
      </c>
      <c r="C126" s="41" t="s">
        <v>196</v>
      </c>
      <c r="D126" s="117"/>
      <c r="E126" s="117"/>
      <c r="F126" s="43"/>
      <c r="G126" s="43"/>
      <c r="H126" s="43"/>
      <c r="I126" s="43"/>
      <c r="J126" s="43"/>
      <c r="K126" s="104"/>
      <c r="L126" s="103"/>
      <c r="M126" s="105"/>
    </row>
    <row r="127" spans="1:13" hidden="1" x14ac:dyDescent="0.2">
      <c r="A127" s="689">
        <v>117</v>
      </c>
      <c r="B127" s="138" t="s">
        <v>191</v>
      </c>
      <c r="C127" s="41" t="s">
        <v>197</v>
      </c>
      <c r="D127" s="117"/>
      <c r="E127" s="117"/>
      <c r="F127" s="43"/>
      <c r="G127" s="43"/>
      <c r="H127" s="43"/>
      <c r="I127" s="43"/>
      <c r="J127" s="43"/>
      <c r="K127" s="104"/>
      <c r="L127" s="103"/>
      <c r="M127" s="105"/>
    </row>
    <row r="128" spans="1:13" hidden="1" x14ac:dyDescent="0.2">
      <c r="A128" s="689">
        <v>118</v>
      </c>
      <c r="B128" s="138" t="s">
        <v>198</v>
      </c>
      <c r="C128" s="56" t="s">
        <v>199</v>
      </c>
      <c r="D128" s="117"/>
      <c r="E128" s="117"/>
      <c r="F128" s="43"/>
      <c r="G128" s="43"/>
      <c r="H128" s="43"/>
      <c r="I128" s="43"/>
      <c r="J128" s="43"/>
      <c r="K128" s="104"/>
      <c r="L128" s="103"/>
      <c r="M128" s="105"/>
    </row>
    <row r="129" spans="1:13" hidden="1" x14ac:dyDescent="0.2">
      <c r="A129" s="689">
        <v>119</v>
      </c>
      <c r="B129" s="138" t="s">
        <v>200</v>
      </c>
      <c r="C129" s="41" t="s">
        <v>201</v>
      </c>
      <c r="D129" s="117"/>
      <c r="E129" s="117"/>
      <c r="F129" s="43"/>
      <c r="G129" s="43"/>
      <c r="H129" s="43"/>
      <c r="I129" s="43"/>
      <c r="J129" s="43"/>
      <c r="K129" s="104"/>
      <c r="L129" s="103"/>
      <c r="M129" s="105"/>
    </row>
    <row r="130" spans="1:13" hidden="1" x14ac:dyDescent="0.2">
      <c r="A130" s="689">
        <v>120</v>
      </c>
      <c r="B130" s="138" t="s">
        <v>202</v>
      </c>
      <c r="C130" s="41" t="s">
        <v>203</v>
      </c>
      <c r="D130" s="117"/>
      <c r="E130" s="117"/>
      <c r="F130" s="43"/>
      <c r="G130" s="43"/>
      <c r="H130" s="43"/>
      <c r="I130" s="43"/>
      <c r="J130" s="43"/>
      <c r="K130" s="104"/>
      <c r="L130" s="103"/>
      <c r="M130" s="105"/>
    </row>
    <row r="131" spans="1:13" hidden="1" x14ac:dyDescent="0.2">
      <c r="A131" s="689">
        <v>121</v>
      </c>
      <c r="B131" s="138" t="s">
        <v>204</v>
      </c>
      <c r="C131" s="41" t="s">
        <v>205</v>
      </c>
      <c r="D131" s="117"/>
      <c r="E131" s="117"/>
      <c r="F131" s="43"/>
      <c r="G131" s="43"/>
      <c r="H131" s="43"/>
      <c r="I131" s="43"/>
      <c r="J131" s="43"/>
      <c r="K131" s="104"/>
      <c r="L131" s="103"/>
      <c r="M131" s="105"/>
    </row>
    <row r="132" spans="1:13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43">
        <f t="shared" ref="F132:J133" si="10">F133</f>
        <v>0</v>
      </c>
      <c r="G132" s="43">
        <f t="shared" si="10"/>
        <v>0</v>
      </c>
      <c r="H132" s="43">
        <f t="shared" si="10"/>
        <v>0</v>
      </c>
      <c r="I132" s="43">
        <f t="shared" si="10"/>
        <v>0</v>
      </c>
      <c r="J132" s="43">
        <f t="shared" si="10"/>
        <v>0</v>
      </c>
      <c r="K132" s="104"/>
      <c r="L132" s="103"/>
      <c r="M132" s="105"/>
    </row>
    <row r="133" spans="1:13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43">
        <f t="shared" si="10"/>
        <v>0</v>
      </c>
      <c r="G133" s="43">
        <f t="shared" si="10"/>
        <v>0</v>
      </c>
      <c r="H133" s="43">
        <f t="shared" si="10"/>
        <v>0</v>
      </c>
      <c r="I133" s="43">
        <f t="shared" si="10"/>
        <v>0</v>
      </c>
      <c r="J133" s="43">
        <f t="shared" si="10"/>
        <v>0</v>
      </c>
      <c r="K133" s="104"/>
      <c r="L133" s="103"/>
      <c r="M133" s="105"/>
    </row>
    <row r="134" spans="1:13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43">
        <f>F135+F136+F138+F139</f>
        <v>0</v>
      </c>
      <c r="G134" s="43">
        <f>G135+G136+G138+G139</f>
        <v>0</v>
      </c>
      <c r="H134" s="43">
        <f>H135+H136+H138+H139</f>
        <v>0</v>
      </c>
      <c r="I134" s="43">
        <f>I135+I136+I138+I139</f>
        <v>0</v>
      </c>
      <c r="J134" s="43">
        <f>J135+J136+J138+J139</f>
        <v>0</v>
      </c>
      <c r="K134" s="104"/>
      <c r="L134" s="103"/>
      <c r="M134" s="105"/>
    </row>
    <row r="135" spans="1:13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43"/>
      <c r="G135" s="43"/>
      <c r="H135" s="43"/>
      <c r="I135" s="43"/>
      <c r="J135" s="43"/>
      <c r="K135" s="118"/>
      <c r="L135" s="103"/>
      <c r="M135" s="105"/>
    </row>
    <row r="136" spans="1:13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43"/>
      <c r="G136" s="43"/>
      <c r="H136" s="43"/>
      <c r="I136" s="43"/>
      <c r="J136" s="43"/>
      <c r="K136" s="118"/>
      <c r="L136" s="103"/>
      <c r="M136" s="105"/>
    </row>
    <row r="137" spans="1:13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43"/>
      <c r="G137" s="43"/>
      <c r="H137" s="43"/>
      <c r="I137" s="43"/>
      <c r="J137" s="43"/>
      <c r="K137" s="118"/>
      <c r="L137" s="103"/>
      <c r="M137" s="105"/>
    </row>
    <row r="138" spans="1:13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43"/>
      <c r="G138" s="43"/>
      <c r="H138" s="43"/>
      <c r="I138" s="43"/>
      <c r="J138" s="43"/>
      <c r="K138" s="118"/>
      <c r="L138" s="103"/>
      <c r="M138" s="105"/>
    </row>
    <row r="139" spans="1:13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272"/>
      <c r="G139" s="272"/>
      <c r="H139" s="272"/>
      <c r="I139" s="272"/>
      <c r="J139" s="272"/>
      <c r="K139" s="148"/>
      <c r="L139" s="147"/>
      <c r="M139" s="149"/>
    </row>
    <row r="140" spans="1:13" x14ac:dyDescent="0.2">
      <c r="A140" s="1"/>
      <c r="B140" s="2"/>
      <c r="C140" s="1"/>
      <c r="D140" s="1"/>
      <c r="E140" s="1"/>
      <c r="F140" s="150"/>
      <c r="G140" s="150"/>
      <c r="H140" s="150"/>
      <c r="I140" s="150"/>
      <c r="J140" s="150"/>
      <c r="K140" s="150"/>
      <c r="L140" s="150"/>
      <c r="M140" s="150"/>
    </row>
    <row r="141" spans="1:13" x14ac:dyDescent="0.2">
      <c r="A141" s="4"/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</row>
    <row r="142" spans="1:13" x14ac:dyDescent="0.2">
      <c r="A142" s="4"/>
      <c r="B142" s="151" t="s">
        <v>221</v>
      </c>
      <c r="C142" s="1107" t="s">
        <v>222</v>
      </c>
      <c r="D142" s="1107"/>
      <c r="E142" s="1107"/>
      <c r="F142" s="1107"/>
      <c r="G142" s="152" t="s">
        <v>390</v>
      </c>
      <c r="H142" s="4"/>
      <c r="I142" s="154"/>
      <c r="J142" s="152" t="s">
        <v>224</v>
      </c>
      <c r="K142" s="4"/>
      <c r="L142" s="4"/>
      <c r="M142" s="4"/>
    </row>
    <row r="143" spans="1:13" x14ac:dyDescent="0.2">
      <c r="A143" s="4"/>
      <c r="B143" s="155" t="s">
        <v>225</v>
      </c>
      <c r="C143" s="1108" t="s">
        <v>392</v>
      </c>
      <c r="D143" s="1108"/>
      <c r="E143" s="1108"/>
      <c r="F143" s="1108"/>
      <c r="G143" s="152" t="s">
        <v>227</v>
      </c>
      <c r="H143" s="4"/>
      <c r="I143" s="156"/>
      <c r="J143" s="1132" t="s">
        <v>388</v>
      </c>
      <c r="K143" s="1132"/>
      <c r="L143" s="1132"/>
      <c r="M143" s="1132"/>
    </row>
    <row r="144" spans="1:13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52" t="s">
        <v>389</v>
      </c>
      <c r="K144" s="4"/>
      <c r="L144" s="4"/>
      <c r="M144" s="4"/>
    </row>
  </sheetData>
  <sheetProtection selectLockedCells="1" selectUnlockedCells="1"/>
  <mergeCells count="12"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  <mergeCell ref="K9:M9"/>
    <mergeCell ref="J143:M143"/>
  </mergeCells>
  <pageMargins left="0.7" right="0.7" top="0.75" bottom="0.75" header="0.51180555555555551" footer="0.51180555555555551"/>
  <pageSetup paperSize="9" scale="69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3A6C1-347F-4024-B478-C9D25DE54F29}">
  <sheetPr>
    <pageSetUpPr fitToPage="1"/>
  </sheetPr>
  <dimension ref="A1:P169"/>
  <sheetViews>
    <sheetView workbookViewId="0">
      <selection activeCell="B7" activeCellId="1" sqref="N35:N36 B7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5" width="9.28515625" style="1" customWidth="1"/>
    <col min="6" max="6" width="8.5703125" style="1" customWidth="1"/>
    <col min="7" max="7" width="6.5703125" style="1" customWidth="1"/>
    <col min="8" max="8" width="6.28515625" style="1" customWidth="1"/>
    <col min="9" max="9" width="6.42578125" style="1" customWidth="1"/>
    <col min="10" max="10" width="6.28515625" style="1" customWidth="1"/>
    <col min="11" max="12" width="6" style="1" customWidth="1"/>
    <col min="13" max="13" width="5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1118" t="s">
        <v>3</v>
      </c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</row>
    <row r="5" spans="1:14" ht="12.75" customHeight="1" x14ac:dyDescent="0.2">
      <c r="A5" s="1119" t="s">
        <v>252</v>
      </c>
      <c r="B5" s="1119"/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4"/>
    </row>
    <row r="6" spans="1:14" x14ac:dyDescent="0.2">
      <c r="A6" s="1133" t="s">
        <v>253</v>
      </c>
      <c r="B6" s="1133"/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8"/>
    </row>
    <row r="7" spans="1:14" x14ac:dyDescent="0.2">
      <c r="B7" s="1133"/>
      <c r="C7" s="1133"/>
      <c r="D7" s="1133"/>
      <c r="E7" s="1133"/>
      <c r="F7" s="1133"/>
      <c r="G7" s="1133"/>
      <c r="H7" s="1133"/>
      <c r="I7" s="1133"/>
      <c r="J7" s="1133"/>
      <c r="K7" s="1133"/>
      <c r="L7" s="8"/>
      <c r="M7" s="8"/>
    </row>
    <row r="8" spans="1:14" ht="12.75" customHeight="1" x14ac:dyDescent="0.2">
      <c r="A8" s="279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11" t="s">
        <v>5</v>
      </c>
    </row>
    <row r="9" spans="1:14" s="4" customFormat="1" ht="12.75" customHeight="1" x14ac:dyDescent="0.2">
      <c r="A9" s="1156" t="s">
        <v>6</v>
      </c>
      <c r="B9" s="1137" t="s">
        <v>7</v>
      </c>
      <c r="C9" s="1124" t="s">
        <v>8</v>
      </c>
      <c r="D9" s="1126" t="s">
        <v>9</v>
      </c>
      <c r="E9" s="1157" t="s">
        <v>10</v>
      </c>
      <c r="F9" s="1158" t="s">
        <v>11</v>
      </c>
      <c r="G9" s="1159" t="s">
        <v>12</v>
      </c>
      <c r="H9" s="1159"/>
      <c r="I9" s="1159"/>
      <c r="J9" s="1159"/>
      <c r="K9" s="1160" t="s">
        <v>13</v>
      </c>
      <c r="L9" s="1160"/>
      <c r="M9" s="1160"/>
    </row>
    <row r="10" spans="1:14" s="4" customFormat="1" ht="48" customHeight="1" x14ac:dyDescent="0.2">
      <c r="A10" s="1156"/>
      <c r="B10" s="1137"/>
      <c r="C10" s="1124"/>
      <c r="D10" s="1126"/>
      <c r="E10" s="1157"/>
      <c r="F10" s="1158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19">
        <f>'68.02.05.02 SF.NICOLAE'!D11+'CENTR. DE RECUP.MED.'!D11</f>
        <v>0</v>
      </c>
      <c r="E11" s="19">
        <f>'68.02.05.02 SF.NICOLAE'!E11+'CENTR. DE RECUP.MED.'!E11</f>
        <v>0</v>
      </c>
      <c r="F11" s="281">
        <f>'68.02.05.02 SF.NICOLAE'!F11+'CENTR. DE RECUP.MED.'!F11</f>
        <v>740</v>
      </c>
      <c r="G11" s="281">
        <f>'68.02.05.02 SF.NICOLAE'!G11+'CENTR. DE RECUP.MED.'!G11</f>
        <v>224</v>
      </c>
      <c r="H11" s="281">
        <f>'68.02.05.02 SF.NICOLAE'!H11+'CENTR. DE RECUP.MED.'!H11</f>
        <v>225</v>
      </c>
      <c r="I11" s="281">
        <f>'68.02.05.02 SF.NICOLAE'!I11+'CENTR. DE RECUP.MED.'!I11</f>
        <v>171</v>
      </c>
      <c r="J11" s="281">
        <f>'68.02.05.02 SF.NICOLAE'!J11+'CENTR. DE RECUP.MED.'!J11</f>
        <v>120</v>
      </c>
      <c r="K11" s="282">
        <f>'68.02.05.02 SF.NICOLAE'!K11+'CENTR. DE RECUP.MED.'!K11</f>
        <v>785.89499999999998</v>
      </c>
      <c r="L11" s="283">
        <f>'68.02.05.02 SF.NICOLAE'!L11+'CENTR. DE RECUP.MED.'!L11</f>
        <v>765.23300000000006</v>
      </c>
      <c r="M11" s="284">
        <f>'68.02.05.02 SF.NICOLAE'!M11+'CENTR. DE RECUP.MED.'!M11</f>
        <v>764.76099999999997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85">
        <f>'68.02.05.02 SF.NICOLAE'!D12+'CENTR. DE RECUP.MED.'!D12</f>
        <v>0</v>
      </c>
      <c r="E12" s="285">
        <f>'68.02.05.02 SF.NICOLAE'!E12+'CENTR. DE RECUP.MED.'!E12</f>
        <v>0</v>
      </c>
      <c r="F12" s="286">
        <f>'68.02.05.02 SF.NICOLAE'!F12+'CENTR. DE RECUP.MED.'!F12</f>
        <v>740</v>
      </c>
      <c r="G12" s="286">
        <f>'68.02.05.02 SF.NICOLAE'!G12+'CENTR. DE RECUP.MED.'!G12</f>
        <v>224</v>
      </c>
      <c r="H12" s="286">
        <f>'68.02.05.02 SF.NICOLAE'!H12+'CENTR. DE RECUP.MED.'!H12</f>
        <v>225</v>
      </c>
      <c r="I12" s="286">
        <f>'68.02.05.02 SF.NICOLAE'!I12+'CENTR. DE RECUP.MED.'!I12</f>
        <v>171</v>
      </c>
      <c r="J12" s="286">
        <f>'68.02.05.02 SF.NICOLAE'!J12+'CENTR. DE RECUP.MED.'!J12</f>
        <v>120</v>
      </c>
      <c r="K12" s="287">
        <f>'68.02.05.02 SF.NICOLAE'!K12+'CENTR. DE RECUP.MED.'!K12</f>
        <v>785.89499999999998</v>
      </c>
      <c r="L12" s="288">
        <f>'68.02.05.02 SF.NICOLAE'!L12+'CENTR. DE RECUP.MED.'!L12</f>
        <v>765.23300000000006</v>
      </c>
      <c r="M12" s="289">
        <f>'68.02.05.02 SF.NICOLAE'!M12+'CENTR. DE RECUP.MED.'!M12</f>
        <v>764.76099999999997</v>
      </c>
    </row>
    <row r="13" spans="1:14" s="4" customFormat="1" x14ac:dyDescent="0.2">
      <c r="A13" s="47">
        <v>3</v>
      </c>
      <c r="B13" s="157" t="s">
        <v>21</v>
      </c>
      <c r="C13" s="75" t="s">
        <v>22</v>
      </c>
      <c r="D13" s="290">
        <f>'68.02.05.02 SF.NICOLAE'!D13+'CENTR. DE RECUP.MED.'!D13</f>
        <v>0</v>
      </c>
      <c r="E13" s="290">
        <f>'68.02.05.02 SF.NICOLAE'!E13+'CENTR. DE RECUP.MED.'!E13</f>
        <v>0</v>
      </c>
      <c r="F13" s="290">
        <f>'68.02.05.02 SF.NICOLAE'!F13+'CENTR. DE RECUP.MED.'!F13</f>
        <v>740</v>
      </c>
      <c r="G13" s="290">
        <f>'68.02.05.02 SF.NICOLAE'!G13+'CENTR. DE RECUP.MED.'!G13</f>
        <v>224</v>
      </c>
      <c r="H13" s="290">
        <f>'68.02.05.02 SF.NICOLAE'!H13+'CENTR. DE RECUP.MED.'!H13</f>
        <v>225</v>
      </c>
      <c r="I13" s="290">
        <f>'68.02.05.02 SF.NICOLAE'!I13+'CENTR. DE RECUP.MED.'!I13</f>
        <v>171</v>
      </c>
      <c r="J13" s="290">
        <f>'68.02.05.02 SF.NICOLAE'!J13+'CENTR. DE RECUP.MED.'!J13</f>
        <v>120</v>
      </c>
      <c r="K13" s="291">
        <f>'68.02.05.02 SF.NICOLAE'!K13+'CENTR. DE RECUP.MED.'!K13</f>
        <v>785.89499999999998</v>
      </c>
      <c r="L13" s="163">
        <f>'68.02.05.02 SF.NICOLAE'!L13+'CENTR. DE RECUP.MED.'!L13</f>
        <v>765.23300000000006</v>
      </c>
      <c r="M13" s="292">
        <f>'68.02.05.02 SF.NICOLAE'!M13+'CENTR. DE RECUP.MED.'!M13</f>
        <v>764.76099999999997</v>
      </c>
    </row>
    <row r="14" spans="1:14" s="4" customFormat="1" x14ac:dyDescent="0.2">
      <c r="A14" s="47">
        <v>4</v>
      </c>
      <c r="B14" s="160" t="s">
        <v>23</v>
      </c>
      <c r="C14" s="161" t="s">
        <v>24</v>
      </c>
      <c r="D14" s="293">
        <f>'68.02.05.02 SF.NICOLAE'!D14+'CENTR. DE RECUP.MED.'!D14</f>
        <v>0</v>
      </c>
      <c r="E14" s="293">
        <f>'68.02.05.02 SF.NICOLAE'!E14+'CENTR. DE RECUP.MED.'!E14</f>
        <v>0</v>
      </c>
      <c r="F14" s="293">
        <f>'68.02.05.02 SF.NICOLAE'!F14+'CENTR. DE RECUP.MED.'!F14</f>
        <v>673</v>
      </c>
      <c r="G14" s="293">
        <f>'68.02.05.02 SF.NICOLAE'!G14+'CENTR. DE RECUP.MED.'!G14</f>
        <v>193</v>
      </c>
      <c r="H14" s="293">
        <f>'68.02.05.02 SF.NICOLAE'!H14+'CENTR. DE RECUP.MED.'!H14</f>
        <v>198</v>
      </c>
      <c r="I14" s="293">
        <f>'68.02.05.02 SF.NICOLAE'!I14+'CENTR. DE RECUP.MED.'!I14</f>
        <v>165</v>
      </c>
      <c r="J14" s="293">
        <f>'68.02.05.02 SF.NICOLAE'!J14+'CENTR. DE RECUP.MED.'!J14</f>
        <v>117</v>
      </c>
      <c r="K14" s="291">
        <v>0</v>
      </c>
      <c r="L14" s="163">
        <v>0</v>
      </c>
      <c r="M14" s="292">
        <v>0</v>
      </c>
    </row>
    <row r="15" spans="1:14" s="4" customFormat="1" x14ac:dyDescent="0.2">
      <c r="A15" s="47">
        <v>5</v>
      </c>
      <c r="B15" s="55" t="s">
        <v>25</v>
      </c>
      <c r="C15" s="161" t="s">
        <v>26</v>
      </c>
      <c r="D15" s="293">
        <f>'68.02.05.02 SF.NICOLAE'!D15+'CENTR. DE RECUP.MED.'!D15</f>
        <v>0</v>
      </c>
      <c r="E15" s="293">
        <f>'68.02.05.02 SF.NICOLAE'!E15+'CENTR. DE RECUP.MED.'!E15</f>
        <v>0</v>
      </c>
      <c r="F15" s="293">
        <f>'68.02.05.02 SF.NICOLAE'!F15+'CENTR. DE RECUP.MED.'!F15</f>
        <v>651</v>
      </c>
      <c r="G15" s="293">
        <f>'68.02.05.02 SF.NICOLAE'!G15+'CENTR. DE RECUP.MED.'!G15</f>
        <v>189</v>
      </c>
      <c r="H15" s="293">
        <f>'68.02.05.02 SF.NICOLAE'!H15+'CENTR. DE RECUP.MED.'!H15</f>
        <v>189</v>
      </c>
      <c r="I15" s="293">
        <f>'68.02.05.02 SF.NICOLAE'!I15+'CENTR. DE RECUP.MED.'!I15</f>
        <v>161</v>
      </c>
      <c r="J15" s="293">
        <f>'68.02.05.02 SF.NICOLAE'!J15+'CENTR. DE RECUP.MED.'!J15</f>
        <v>112</v>
      </c>
      <c r="K15" s="291"/>
      <c r="L15" s="163"/>
      <c r="M15" s="292"/>
    </row>
    <row r="16" spans="1:14" s="4" customFormat="1" x14ac:dyDescent="0.2">
      <c r="A16" s="47">
        <v>6</v>
      </c>
      <c r="B16" s="40" t="s">
        <v>27</v>
      </c>
      <c r="C16" s="41" t="s">
        <v>28</v>
      </c>
      <c r="D16" s="290">
        <f>'68.02.05.02 SF.NICOLAE'!D16+'CENTR. DE RECUP.MED.'!D16</f>
        <v>0</v>
      </c>
      <c r="E16" s="290">
        <f>'68.02.05.02 SF.NICOLAE'!E16+'CENTR. DE RECUP.MED.'!E16</f>
        <v>0</v>
      </c>
      <c r="F16" s="290">
        <f>'68.02.05.02 SF.NICOLAE'!F16+'CENTR. DE RECUP.MED.'!F16</f>
        <v>415</v>
      </c>
      <c r="G16" s="290">
        <f>'68.02.05.02 SF.NICOLAE'!G16+'CENTR. DE RECUP.MED.'!G16</f>
        <v>104</v>
      </c>
      <c r="H16" s="290">
        <f>'68.02.05.02 SF.NICOLAE'!H16+'CENTR. DE RECUP.MED.'!H16</f>
        <v>104</v>
      </c>
      <c r="I16" s="290">
        <f>'68.02.05.02 SF.NICOLAE'!I16+'CENTR. DE RECUP.MED.'!I16</f>
        <v>103</v>
      </c>
      <c r="J16" s="290">
        <f>'68.02.05.02 SF.NICOLAE'!J16+'CENTR. DE RECUP.MED.'!J16</f>
        <v>104</v>
      </c>
      <c r="K16" s="294"/>
      <c r="L16" s="165"/>
      <c r="M16" s="295"/>
    </row>
    <row r="17" spans="1:16" s="4" customFormat="1" x14ac:dyDescent="0.2">
      <c r="A17" s="47">
        <v>7</v>
      </c>
      <c r="B17" s="40" t="s">
        <v>29</v>
      </c>
      <c r="C17" s="41" t="s">
        <v>30</v>
      </c>
      <c r="D17" s="290">
        <f>'68.02.05.02 SF.NICOLAE'!D17+'CENTR. DE RECUP.MED.'!D17</f>
        <v>0</v>
      </c>
      <c r="E17" s="290">
        <f>'68.02.05.02 SF.NICOLAE'!E17+'CENTR. DE RECUP.MED.'!E17</f>
        <v>0</v>
      </c>
      <c r="F17" s="290">
        <f>'68.02.05.02 SF.NICOLAE'!F17+'CENTR. DE RECUP.MED.'!F17</f>
        <v>207</v>
      </c>
      <c r="G17" s="290">
        <f>'68.02.05.02 SF.NICOLAE'!G17+'CENTR. DE RECUP.MED.'!G17</f>
        <v>78</v>
      </c>
      <c r="H17" s="290">
        <f>'68.02.05.02 SF.NICOLAE'!H17+'CENTR. DE RECUP.MED.'!H17</f>
        <v>78</v>
      </c>
      <c r="I17" s="290">
        <f>'68.02.05.02 SF.NICOLAE'!I17+'CENTR. DE RECUP.MED.'!I17</f>
        <v>51</v>
      </c>
      <c r="J17" s="290">
        <f>'68.02.05.02 SF.NICOLAE'!J17+'CENTR. DE RECUP.MED.'!J17</f>
        <v>0</v>
      </c>
      <c r="K17" s="294"/>
      <c r="L17" s="165"/>
      <c r="M17" s="295"/>
      <c r="P17" s="48"/>
    </row>
    <row r="18" spans="1:16" s="4" customFormat="1" x14ac:dyDescent="0.2">
      <c r="A18" s="47">
        <v>8</v>
      </c>
      <c r="B18" s="40" t="s">
        <v>31</v>
      </c>
      <c r="C18" s="41" t="s">
        <v>32</v>
      </c>
      <c r="D18" s="290">
        <f>'68.02.05.02 SF.NICOLAE'!D18+'CENTR. DE RECUP.MED.'!D18</f>
        <v>0</v>
      </c>
      <c r="E18" s="290">
        <f>'68.02.05.02 SF.NICOLAE'!E18+'CENTR. DE RECUP.MED.'!E18</f>
        <v>0</v>
      </c>
      <c r="F18" s="290">
        <f>'68.02.05.02 SF.NICOLAE'!F18+'CENTR. DE RECUP.MED.'!F18</f>
        <v>4</v>
      </c>
      <c r="G18" s="290">
        <f>'68.02.05.02 SF.NICOLAE'!G18+'CENTR. DE RECUP.MED.'!G18</f>
        <v>1</v>
      </c>
      <c r="H18" s="290">
        <f>'68.02.05.02 SF.NICOLAE'!H18+'CENTR. DE RECUP.MED.'!H18</f>
        <v>1</v>
      </c>
      <c r="I18" s="290">
        <v>0</v>
      </c>
      <c r="J18" s="290">
        <f>'68.02.05.02 SF.NICOLAE'!J18+'CENTR. DE RECUP.MED.'!J18</f>
        <v>1</v>
      </c>
      <c r="K18" s="294"/>
      <c r="L18" s="165"/>
      <c r="M18" s="295"/>
      <c r="P18" s="48"/>
    </row>
    <row r="19" spans="1:16" s="4" customFormat="1" x14ac:dyDescent="0.2">
      <c r="A19" s="47">
        <v>9</v>
      </c>
      <c r="B19" s="4" t="s">
        <v>33</v>
      </c>
      <c r="C19" s="49" t="s">
        <v>34</v>
      </c>
      <c r="D19" s="290">
        <f>'68.02.05.02 SF.NICOLAE'!D19+'CENTR. DE RECUP.MED.'!D19</f>
        <v>0</v>
      </c>
      <c r="E19" s="290">
        <f>'68.02.05.02 SF.NICOLAE'!E19+'CENTR. DE RECUP.MED.'!E19</f>
        <v>0</v>
      </c>
      <c r="F19" s="290">
        <f>'68.02.05.02 SF.NICOLAE'!F19+'CENTR. DE RECUP.MED.'!F19</f>
        <v>0</v>
      </c>
      <c r="G19" s="290">
        <f>'68.02.05.02 SF.NICOLAE'!G19+'CENTR. DE RECUP.MED.'!G19</f>
        <v>0</v>
      </c>
      <c r="H19" s="290">
        <f>'68.02.05.02 SF.NICOLAE'!H19+'CENTR. DE RECUP.MED.'!H19</f>
        <v>0</v>
      </c>
      <c r="I19" s="290">
        <f>'68.02.05.02 SF.NICOLAE'!I19+'CENTR. DE RECUP.MED.'!I19</f>
        <v>0</v>
      </c>
      <c r="J19" s="290">
        <f>'68.02.05.02 SF.NICOLAE'!J19+'CENTR. DE RECUP.MED.'!J19</f>
        <v>0</v>
      </c>
      <c r="K19" s="294"/>
      <c r="L19" s="165"/>
      <c r="M19" s="295"/>
      <c r="P19" s="48"/>
    </row>
    <row r="20" spans="1:16" s="4" customFormat="1" x14ac:dyDescent="0.2">
      <c r="A20" s="47">
        <v>10</v>
      </c>
      <c r="B20" s="40" t="s">
        <v>35</v>
      </c>
      <c r="C20" s="41" t="s">
        <v>36</v>
      </c>
      <c r="D20" s="290">
        <f>'68.02.05.02 SF.NICOLAE'!D20+'CENTR. DE RECUP.MED.'!D20</f>
        <v>0</v>
      </c>
      <c r="E20" s="290">
        <f>'68.02.05.02 SF.NICOLAE'!E20+'CENTR. DE RECUP.MED.'!E20</f>
        <v>0</v>
      </c>
      <c r="F20" s="290">
        <f>'68.02.05.02 SF.NICOLAE'!F20+'CENTR. DE RECUP.MED.'!F20</f>
        <v>0</v>
      </c>
      <c r="G20" s="290">
        <f>'68.02.05.02 SF.NICOLAE'!G20+'CENTR. DE RECUP.MED.'!G20</f>
        <v>0</v>
      </c>
      <c r="H20" s="290">
        <f>'68.02.05.02 SF.NICOLAE'!H20+'CENTR. DE RECUP.MED.'!H20</f>
        <v>0</v>
      </c>
      <c r="I20" s="290">
        <f>'68.02.05.02 SF.NICOLAE'!I20+'CENTR. DE RECUP.MED.'!I20</f>
        <v>0</v>
      </c>
      <c r="J20" s="290">
        <f>'68.02.05.02 SF.NICOLAE'!J20+'CENTR. DE RECUP.MED.'!J20</f>
        <v>0</v>
      </c>
      <c r="K20" s="294"/>
      <c r="L20" s="165"/>
      <c r="M20" s="295"/>
      <c r="P20" s="48"/>
    </row>
    <row r="21" spans="1:16" s="4" customFormat="1" x14ac:dyDescent="0.2">
      <c r="A21" s="47">
        <v>11</v>
      </c>
      <c r="B21" s="40" t="s">
        <v>37</v>
      </c>
      <c r="C21" s="41" t="s">
        <v>38</v>
      </c>
      <c r="D21" s="290">
        <f>'68.02.05.02 SF.NICOLAE'!D21+'CENTR. DE RECUP.MED.'!D21</f>
        <v>0</v>
      </c>
      <c r="E21" s="290">
        <f>'68.02.05.02 SF.NICOLAE'!E21+'CENTR. DE RECUP.MED.'!E21</f>
        <v>0</v>
      </c>
      <c r="F21" s="290">
        <f>'68.02.05.02 SF.NICOLAE'!F21+'CENTR. DE RECUP.MED.'!F21</f>
        <v>25</v>
      </c>
      <c r="G21" s="290">
        <f>'68.02.05.02 SF.NICOLAE'!G21+'CENTR. DE RECUP.MED.'!G21</f>
        <v>6</v>
      </c>
      <c r="H21" s="290">
        <f>'68.02.05.02 SF.NICOLAE'!H21+'CENTR. DE RECUP.MED.'!H21</f>
        <v>6</v>
      </c>
      <c r="I21" s="290">
        <f>'68.02.05.02 SF.NICOLAE'!I21+'CENTR. DE RECUP.MED.'!I21</f>
        <v>6</v>
      </c>
      <c r="J21" s="290">
        <f>'68.02.05.02 SF.NICOLAE'!J21+'CENTR. DE RECUP.MED.'!J21</f>
        <v>7</v>
      </c>
      <c r="K21" s="294"/>
      <c r="L21" s="165"/>
      <c r="M21" s="295"/>
      <c r="P21" s="48"/>
    </row>
    <row r="22" spans="1:16" s="4" customFormat="1" x14ac:dyDescent="0.2">
      <c r="A22" s="47"/>
      <c r="B22" s="40" t="s">
        <v>39</v>
      </c>
      <c r="C22" s="41" t="s">
        <v>40</v>
      </c>
      <c r="D22" s="290"/>
      <c r="E22" s="290"/>
      <c r="F22" s="290"/>
      <c r="G22" s="290"/>
      <c r="H22" s="290"/>
      <c r="I22" s="290"/>
      <c r="J22" s="290"/>
      <c r="K22" s="294"/>
      <c r="L22" s="165"/>
      <c r="M22" s="295"/>
      <c r="P22" s="48"/>
    </row>
    <row r="23" spans="1:16" s="4" customFormat="1" x14ac:dyDescent="0.2">
      <c r="A23" s="47">
        <v>12</v>
      </c>
      <c r="B23" s="40" t="s">
        <v>41</v>
      </c>
      <c r="C23" s="52" t="s">
        <v>42</v>
      </c>
      <c r="D23" s="290">
        <f>'68.02.05.02 SF.NICOLAE'!D23+'CENTR. DE RECUP.MED.'!D23</f>
        <v>0</v>
      </c>
      <c r="E23" s="290">
        <f>'68.02.05.02 SF.NICOLAE'!E23+'CENTR. DE RECUP.MED.'!E23</f>
        <v>0</v>
      </c>
      <c r="F23" s="290">
        <f>'68.02.05.02 SF.NICOLAE'!F23+'CENTR. DE RECUP.MED.'!F23</f>
        <v>5</v>
      </c>
      <c r="G23" s="290">
        <f>'68.02.05.02 SF.NICOLAE'!G23+'CENTR. DE RECUP.MED.'!G23</f>
        <v>0</v>
      </c>
      <c r="H23" s="290">
        <f>'68.02.05.02 SF.NICOLAE'!H23+'CENTR. DE RECUP.MED.'!H23</f>
        <v>5</v>
      </c>
      <c r="I23" s="290">
        <f>'68.02.05.02 SF.NICOLAE'!I23+'CENTR. DE RECUP.MED.'!I23</f>
        <v>0</v>
      </c>
      <c r="J23" s="290">
        <f>'68.02.05.02 SF.NICOLAE'!J23+'CENTR. DE RECUP.MED.'!J23</f>
        <v>0</v>
      </c>
      <c r="K23" s="294"/>
      <c r="L23" s="165"/>
      <c r="M23" s="295"/>
      <c r="P23" s="48"/>
    </row>
    <row r="24" spans="1:16" s="4" customFormat="1" x14ac:dyDescent="0.2">
      <c r="A24" s="47">
        <v>13</v>
      </c>
      <c r="B24" s="40" t="s">
        <v>43</v>
      </c>
      <c r="C24" s="54" t="s">
        <v>44</v>
      </c>
      <c r="D24" s="290">
        <f>'68.02.05.02 SF.NICOLAE'!D24+'CENTR. DE RECUP.MED.'!D24</f>
        <v>0</v>
      </c>
      <c r="E24" s="290">
        <f>'68.02.05.02 SF.NICOLAE'!E24+'CENTR. DE RECUP.MED.'!E24</f>
        <v>0</v>
      </c>
      <c r="F24" s="290">
        <f>'68.02.05.02 SF.NICOLAE'!F24+'CENTR. DE RECUP.MED.'!F24</f>
        <v>5</v>
      </c>
      <c r="G24" s="290">
        <f>'68.02.05.02 SF.NICOLAE'!G24+'CENTR. DE RECUP.MED.'!G24</f>
        <v>0</v>
      </c>
      <c r="H24" s="290">
        <f>'68.02.05.02 SF.NICOLAE'!H24+'CENTR. DE RECUP.MED.'!H24</f>
        <v>5</v>
      </c>
      <c r="I24" s="290">
        <f>'68.02.05.02 SF.NICOLAE'!I24+'CENTR. DE RECUP.MED.'!I24</f>
        <v>0</v>
      </c>
      <c r="J24" s="290">
        <f>'68.02.05.02 SF.NICOLAE'!J24+'CENTR. DE RECUP.MED.'!J24</f>
        <v>0</v>
      </c>
      <c r="K24" s="294"/>
      <c r="L24" s="165"/>
      <c r="M24" s="295"/>
      <c r="P24" s="48"/>
    </row>
    <row r="25" spans="1:16" s="4" customFormat="1" x14ac:dyDescent="0.2">
      <c r="A25" s="47">
        <v>14</v>
      </c>
      <c r="B25" s="40" t="s">
        <v>230</v>
      </c>
      <c r="C25" s="54" t="s">
        <v>231</v>
      </c>
      <c r="D25" s="290"/>
      <c r="E25" s="290"/>
      <c r="F25" s="290"/>
      <c r="G25" s="290"/>
      <c r="H25" s="290"/>
      <c r="I25" s="290"/>
      <c r="J25" s="290"/>
      <c r="K25" s="294"/>
      <c r="L25" s="165"/>
      <c r="M25" s="295"/>
      <c r="P25" s="48"/>
    </row>
    <row r="26" spans="1:16" s="4" customFormat="1" x14ac:dyDescent="0.2">
      <c r="A26" s="47">
        <v>15</v>
      </c>
      <c r="B26" s="55" t="s">
        <v>45</v>
      </c>
      <c r="C26" s="56" t="s">
        <v>46</v>
      </c>
      <c r="D26" s="293">
        <f>'68.02.05.02 SF.NICOLAE'!D26+'CENTR. DE RECUP.MED.'!D26</f>
        <v>0</v>
      </c>
      <c r="E26" s="293">
        <f>'68.02.05.02 SF.NICOLAE'!E26+'CENTR. DE RECUP.MED.'!E26</f>
        <v>0</v>
      </c>
      <c r="F26" s="293">
        <f>'68.02.05.02 SF.NICOLAE'!F26+'CENTR. DE RECUP.MED.'!F26</f>
        <v>17</v>
      </c>
      <c r="G26" s="293">
        <f>'68.02.05.02 SF.NICOLAE'!G26+'CENTR. DE RECUP.MED.'!G26</f>
        <v>4</v>
      </c>
      <c r="H26" s="293">
        <f>'68.02.05.02 SF.NICOLAE'!H26+'CENTR. DE RECUP.MED.'!H26</f>
        <v>4</v>
      </c>
      <c r="I26" s="293">
        <f>'68.02.05.02 SF.NICOLAE'!I26+'CENTR. DE RECUP.MED.'!I26</f>
        <v>4</v>
      </c>
      <c r="J26" s="293">
        <f>'68.02.05.02 SF.NICOLAE'!J26+'CENTR. DE RECUP.MED.'!J26</f>
        <v>5</v>
      </c>
      <c r="K26" s="291"/>
      <c r="L26" s="163"/>
      <c r="M26" s="292"/>
    </row>
    <row r="27" spans="1:16" s="4" customFormat="1" x14ac:dyDescent="0.2">
      <c r="A27" s="47">
        <v>16</v>
      </c>
      <c r="B27" s="59" t="s">
        <v>47</v>
      </c>
      <c r="C27" s="41" t="s">
        <v>48</v>
      </c>
      <c r="D27" s="290">
        <f>'68.02.05.02 SF.NICOLAE'!D27+'CENTR. DE RECUP.MED.'!D27</f>
        <v>0</v>
      </c>
      <c r="E27" s="290">
        <f>'68.02.05.02 SF.NICOLAE'!E27+'CENTR. DE RECUP.MED.'!E27</f>
        <v>0</v>
      </c>
      <c r="F27" s="290">
        <f>'68.02.05.02 SF.NICOLAE'!F27+'CENTR. DE RECUP.MED.'!F27</f>
        <v>0</v>
      </c>
      <c r="G27" s="290">
        <f>'68.02.05.02 SF.NICOLAE'!G27+'CENTR. DE RECUP.MED.'!G27</f>
        <v>0</v>
      </c>
      <c r="H27" s="290">
        <f>'68.02.05.02 SF.NICOLAE'!H27+'CENTR. DE RECUP.MED.'!H27</f>
        <v>0</v>
      </c>
      <c r="I27" s="290">
        <f>'68.02.05.02 SF.NICOLAE'!I27+'CENTR. DE RECUP.MED.'!I27</f>
        <v>0</v>
      </c>
      <c r="J27" s="290">
        <f>'68.02.05.02 SF.NICOLAE'!J27+'CENTR. DE RECUP.MED.'!J27</f>
        <v>0</v>
      </c>
      <c r="K27" s="294"/>
      <c r="L27" s="165"/>
      <c r="M27" s="295"/>
    </row>
    <row r="28" spans="1:16" s="4" customFormat="1" x14ac:dyDescent="0.2">
      <c r="A28" s="47">
        <v>17</v>
      </c>
      <c r="B28" s="59" t="s">
        <v>49</v>
      </c>
      <c r="C28" s="41" t="s">
        <v>50</v>
      </c>
      <c r="D28" s="290">
        <f>'68.02.05.02 SF.NICOLAE'!D28+'CENTR. DE RECUP.MED.'!D28</f>
        <v>0</v>
      </c>
      <c r="E28" s="290">
        <f>'68.02.05.02 SF.NICOLAE'!E28+'CENTR. DE RECUP.MED.'!E28</f>
        <v>0</v>
      </c>
      <c r="F28" s="290">
        <f>'68.02.05.02 SF.NICOLAE'!F28+'CENTR. DE RECUP.MED.'!F28</f>
        <v>0</v>
      </c>
      <c r="G28" s="290">
        <f>'68.02.05.02 SF.NICOLAE'!G28+'CENTR. DE RECUP.MED.'!G28</f>
        <v>0</v>
      </c>
      <c r="H28" s="290">
        <f>'68.02.05.02 SF.NICOLAE'!H28+'CENTR. DE RECUP.MED.'!H28</f>
        <v>0</v>
      </c>
      <c r="I28" s="290">
        <f>'68.02.05.02 SF.NICOLAE'!I28+'CENTR. DE RECUP.MED.'!I28</f>
        <v>0</v>
      </c>
      <c r="J28" s="290">
        <f>'68.02.05.02 SF.NICOLAE'!J28+'CENTR. DE RECUP.MED.'!J28</f>
        <v>0</v>
      </c>
      <c r="K28" s="294"/>
      <c r="L28" s="165"/>
      <c r="M28" s="295"/>
    </row>
    <row r="29" spans="1:16" s="4" customFormat="1" x14ac:dyDescent="0.2">
      <c r="A29" s="47">
        <v>18</v>
      </c>
      <c r="B29" s="59" t="s">
        <v>51</v>
      </c>
      <c r="C29" s="41" t="s">
        <v>52</v>
      </c>
      <c r="D29" s="290">
        <f>'68.02.05.02 SF.NICOLAE'!D29+'CENTR. DE RECUP.MED.'!D29</f>
        <v>0</v>
      </c>
      <c r="E29" s="290">
        <f>'68.02.05.02 SF.NICOLAE'!E29+'CENTR. DE RECUP.MED.'!E29</f>
        <v>0</v>
      </c>
      <c r="F29" s="290">
        <f>'68.02.05.02 SF.NICOLAE'!F29+'CENTR. DE RECUP.MED.'!F29</f>
        <v>0</v>
      </c>
      <c r="G29" s="290">
        <f>'68.02.05.02 SF.NICOLAE'!G29+'CENTR. DE RECUP.MED.'!G29</f>
        <v>0</v>
      </c>
      <c r="H29" s="290">
        <f>'68.02.05.02 SF.NICOLAE'!H29+'CENTR. DE RECUP.MED.'!H29</f>
        <v>0</v>
      </c>
      <c r="I29" s="290">
        <f>'68.02.05.02 SF.NICOLAE'!I29+'CENTR. DE RECUP.MED.'!I29</f>
        <v>0</v>
      </c>
      <c r="J29" s="290">
        <f>'68.02.05.02 SF.NICOLAE'!J29+'CENTR. DE RECUP.MED.'!J29</f>
        <v>0</v>
      </c>
      <c r="K29" s="294"/>
      <c r="L29" s="165"/>
      <c r="M29" s="295"/>
    </row>
    <row r="30" spans="1:16" s="4" customFormat="1" ht="25.5" x14ac:dyDescent="0.2">
      <c r="A30" s="47">
        <v>19</v>
      </c>
      <c r="B30" s="60" t="s">
        <v>53</v>
      </c>
      <c r="C30" s="61" t="s">
        <v>54</v>
      </c>
      <c r="D30" s="290">
        <f>'68.02.05.02 SF.NICOLAE'!D30+'CENTR. DE RECUP.MED.'!D30</f>
        <v>0</v>
      </c>
      <c r="E30" s="290">
        <f>'68.02.05.02 SF.NICOLAE'!E30+'CENTR. DE RECUP.MED.'!E30</f>
        <v>0</v>
      </c>
      <c r="F30" s="290">
        <f>'68.02.05.02 SF.NICOLAE'!F30+'CENTR. DE RECUP.MED.'!F30</f>
        <v>0</v>
      </c>
      <c r="G30" s="290">
        <f>'68.02.05.02 SF.NICOLAE'!G30+'CENTR. DE RECUP.MED.'!G30</f>
        <v>0</v>
      </c>
      <c r="H30" s="290">
        <f>'68.02.05.02 SF.NICOLAE'!H30+'CENTR. DE RECUP.MED.'!H30</f>
        <v>0</v>
      </c>
      <c r="I30" s="290">
        <f>'68.02.05.02 SF.NICOLAE'!I30+'CENTR. DE RECUP.MED.'!I30</f>
        <v>0</v>
      </c>
      <c r="J30" s="290">
        <f>'68.02.05.02 SF.NICOLAE'!J30+'CENTR. DE RECUP.MED.'!J30</f>
        <v>0</v>
      </c>
      <c r="K30" s="294"/>
      <c r="L30" s="165"/>
      <c r="M30" s="295"/>
    </row>
    <row r="31" spans="1:16" s="4" customFormat="1" x14ac:dyDescent="0.2">
      <c r="A31" s="47">
        <v>20</v>
      </c>
      <c r="B31" s="59" t="s">
        <v>55</v>
      </c>
      <c r="C31" s="41" t="s">
        <v>56</v>
      </c>
      <c r="D31" s="290">
        <f>'68.02.05.02 SF.NICOLAE'!D31+'CENTR. DE RECUP.MED.'!D31</f>
        <v>0</v>
      </c>
      <c r="E31" s="290">
        <f>'68.02.05.02 SF.NICOLAE'!E31+'CENTR. DE RECUP.MED.'!E31</f>
        <v>0</v>
      </c>
      <c r="F31" s="290">
        <f>'68.02.05.02 SF.NICOLAE'!F31+'CENTR. DE RECUP.MED.'!F31</f>
        <v>0</v>
      </c>
      <c r="G31" s="290">
        <f>'68.02.05.02 SF.NICOLAE'!G31+'CENTR. DE RECUP.MED.'!G31</f>
        <v>0</v>
      </c>
      <c r="H31" s="290">
        <f>'68.02.05.02 SF.NICOLAE'!H31+'CENTR. DE RECUP.MED.'!H31</f>
        <v>0</v>
      </c>
      <c r="I31" s="290">
        <f>'68.02.05.02 SF.NICOLAE'!I31+'CENTR. DE RECUP.MED.'!I31</f>
        <v>0</v>
      </c>
      <c r="J31" s="290">
        <f>'68.02.05.02 SF.NICOLAE'!J31+'CENTR. DE RECUP.MED.'!J31</f>
        <v>0</v>
      </c>
      <c r="K31" s="294"/>
      <c r="L31" s="165"/>
      <c r="M31" s="295"/>
    </row>
    <row r="32" spans="1:16" s="4" customFormat="1" x14ac:dyDescent="0.2">
      <c r="A32" s="47">
        <v>21</v>
      </c>
      <c r="B32" s="59" t="s">
        <v>57</v>
      </c>
      <c r="C32" s="41" t="s">
        <v>58</v>
      </c>
      <c r="D32" s="290">
        <f>'68.02.05.02 SF.NICOLAE'!D32+'CENTR. DE RECUP.MED.'!D32</f>
        <v>0</v>
      </c>
      <c r="E32" s="290">
        <f>'68.02.05.02 SF.NICOLAE'!E32+'CENTR. DE RECUP.MED.'!E32</f>
        <v>0</v>
      </c>
      <c r="F32" s="290">
        <f>'68.02.05.02 SF.NICOLAE'!F32+'CENTR. DE RECUP.MED.'!F32</f>
        <v>17</v>
      </c>
      <c r="G32" s="290">
        <f>'68.02.05.02 SF.NICOLAE'!G32+'CENTR. DE RECUP.MED.'!G32</f>
        <v>4</v>
      </c>
      <c r="H32" s="290">
        <f>'68.02.05.02 SF.NICOLAE'!H32+'CENTR. DE RECUP.MED.'!H32</f>
        <v>4</v>
      </c>
      <c r="I32" s="290">
        <f>'68.02.05.02 SF.NICOLAE'!I32+'CENTR. DE RECUP.MED.'!I32</f>
        <v>4</v>
      </c>
      <c r="J32" s="290">
        <f>'68.02.05.02 SF.NICOLAE'!J32+'CENTR. DE RECUP.MED.'!J32</f>
        <v>5</v>
      </c>
      <c r="K32" s="294"/>
      <c r="L32" s="165"/>
      <c r="M32" s="295"/>
    </row>
    <row r="33" spans="1:16" s="4" customFormat="1" x14ac:dyDescent="0.2">
      <c r="A33" s="47">
        <v>22</v>
      </c>
      <c r="B33" s="59" t="s">
        <v>59</v>
      </c>
      <c r="C33" s="41" t="s">
        <v>60</v>
      </c>
      <c r="D33" s="290">
        <f>'68.02.05.02 SF.NICOLAE'!D33+'CENTR. DE RECUP.MED.'!D33</f>
        <v>0</v>
      </c>
      <c r="E33" s="290">
        <f>'68.02.05.02 SF.NICOLAE'!E33+'CENTR. DE RECUP.MED.'!E33</f>
        <v>0</v>
      </c>
      <c r="F33" s="290">
        <f>'68.02.05.02 SF.NICOLAE'!F33+'CENTR. DE RECUP.MED.'!F33</f>
        <v>0</v>
      </c>
      <c r="G33" s="290">
        <f>'68.02.05.02 SF.NICOLAE'!G33+'CENTR. DE RECUP.MED.'!G33</f>
        <v>0</v>
      </c>
      <c r="H33" s="290">
        <f>'68.02.05.02 SF.NICOLAE'!H33+'CENTR. DE RECUP.MED.'!H33</f>
        <v>0</v>
      </c>
      <c r="I33" s="290">
        <f>'68.02.05.02 SF.NICOLAE'!I33+'CENTR. DE RECUP.MED.'!I33</f>
        <v>0</v>
      </c>
      <c r="J33" s="290">
        <f>'68.02.05.02 SF.NICOLAE'!J33+'CENTR. DE RECUP.MED.'!J33</f>
        <v>0</v>
      </c>
      <c r="K33" s="294"/>
      <c r="L33" s="165"/>
      <c r="M33" s="295"/>
    </row>
    <row r="34" spans="1:16" s="4" customFormat="1" ht="25.5" x14ac:dyDescent="0.2">
      <c r="A34" s="47">
        <v>23</v>
      </c>
      <c r="B34" s="169" t="s">
        <v>61</v>
      </c>
      <c r="C34" s="170">
        <v>20</v>
      </c>
      <c r="D34" s="293">
        <f>'68.02.05.02 SF.NICOLAE'!D34+'CENTR. DE RECUP.MED.'!D34</f>
        <v>0</v>
      </c>
      <c r="E34" s="293">
        <f>'68.02.05.02 SF.NICOLAE'!E34+'CENTR. DE RECUP.MED.'!E34</f>
        <v>0</v>
      </c>
      <c r="F34" s="293">
        <f>'68.02.05.02 SF.NICOLAE'!F34+'CENTR. DE RECUP.MED.'!F34</f>
        <v>67</v>
      </c>
      <c r="G34" s="293">
        <f>'68.02.05.02 SF.NICOLAE'!G34+'CENTR. DE RECUP.MED.'!G34</f>
        <v>31</v>
      </c>
      <c r="H34" s="293">
        <f>'68.02.05.02 SF.NICOLAE'!H34+'CENTR. DE RECUP.MED.'!H34</f>
        <v>27</v>
      </c>
      <c r="I34" s="293">
        <f>'68.02.05.02 SF.NICOLAE'!I34+'CENTR. DE RECUP.MED.'!I34</f>
        <v>6</v>
      </c>
      <c r="J34" s="293">
        <f>'68.02.05.02 SF.NICOLAE'!J34+'CENTR. DE RECUP.MED.'!J34</f>
        <v>3</v>
      </c>
      <c r="K34" s="291">
        <v>0</v>
      </c>
      <c r="L34" s="163">
        <v>0</v>
      </c>
      <c r="M34" s="292">
        <v>0</v>
      </c>
    </row>
    <row r="35" spans="1:16" s="4" customFormat="1" x14ac:dyDescent="0.2">
      <c r="A35" s="47">
        <v>24</v>
      </c>
      <c r="B35" s="160" t="s">
        <v>62</v>
      </c>
      <c r="C35" s="56" t="s">
        <v>63</v>
      </c>
      <c r="D35" s="293">
        <f>'68.02.05.02 SF.NICOLAE'!D35+'CENTR. DE RECUP.MED.'!D35</f>
        <v>0</v>
      </c>
      <c r="E35" s="293">
        <f>'68.02.05.02 SF.NICOLAE'!E35+'CENTR. DE RECUP.MED.'!E35</f>
        <v>0</v>
      </c>
      <c r="F35" s="293">
        <f>'68.02.05.02 SF.NICOLAE'!F35+'CENTR. DE RECUP.MED.'!F35</f>
        <v>54</v>
      </c>
      <c r="G35" s="293">
        <f>'68.02.05.02 SF.NICOLAE'!G35+'CENTR. DE RECUP.MED.'!G35</f>
        <v>25</v>
      </c>
      <c r="H35" s="293">
        <f>'68.02.05.02 SF.NICOLAE'!H35+'CENTR. DE RECUP.MED.'!H35</f>
        <v>22</v>
      </c>
      <c r="I35" s="293">
        <f>'68.02.05.02 SF.NICOLAE'!I35+'CENTR. DE RECUP.MED.'!I35</f>
        <v>5</v>
      </c>
      <c r="J35" s="293">
        <f>'68.02.05.02 SF.NICOLAE'!J35+'CENTR. DE RECUP.MED.'!J35</f>
        <v>2</v>
      </c>
      <c r="K35" s="98"/>
      <c r="L35" s="97"/>
      <c r="M35" s="99"/>
    </row>
    <row r="36" spans="1:16" s="4" customFormat="1" x14ac:dyDescent="0.2">
      <c r="A36" s="47">
        <v>25</v>
      </c>
      <c r="B36" s="55" t="s">
        <v>64</v>
      </c>
      <c r="C36" s="56" t="s">
        <v>65</v>
      </c>
      <c r="D36" s="293">
        <f>'68.02.05.02 SF.NICOLAE'!D36+'CENTR. DE RECUP.MED.'!D36</f>
        <v>0</v>
      </c>
      <c r="E36" s="293">
        <f>'68.02.05.02 SF.NICOLAE'!E36+'CENTR. DE RECUP.MED.'!E36</f>
        <v>0</v>
      </c>
      <c r="F36" s="293">
        <f>'68.02.05.02 SF.NICOLAE'!F36+'CENTR. DE RECUP.MED.'!F36</f>
        <v>1</v>
      </c>
      <c r="G36" s="293">
        <f>'68.02.05.02 SF.NICOLAE'!G36+'CENTR. DE RECUP.MED.'!G36</f>
        <v>0</v>
      </c>
      <c r="H36" s="293">
        <f>'68.02.05.02 SF.NICOLAE'!H36+'CENTR. DE RECUP.MED.'!H36</f>
        <v>1</v>
      </c>
      <c r="I36" s="293">
        <f>'68.02.05.02 SF.NICOLAE'!I36+'CENTR. DE RECUP.MED.'!I36</f>
        <v>0</v>
      </c>
      <c r="J36" s="293">
        <f>'68.02.05.02 SF.NICOLAE'!J36+'CENTR. DE RECUP.MED.'!J36</f>
        <v>0</v>
      </c>
      <c r="K36" s="250"/>
      <c r="L36" s="91"/>
      <c r="M36" s="251"/>
    </row>
    <row r="37" spans="1:16" s="4" customFormat="1" x14ac:dyDescent="0.2">
      <c r="A37" s="47">
        <v>26</v>
      </c>
      <c r="B37" s="59" t="s">
        <v>64</v>
      </c>
      <c r="C37" s="41"/>
      <c r="D37" s="290">
        <f>'68.02.05.02 SF.NICOLAE'!D37+'CENTR. DE RECUP.MED.'!D37</f>
        <v>0</v>
      </c>
      <c r="E37" s="290">
        <f>'68.02.05.02 SF.NICOLAE'!E37+'CENTR. DE RECUP.MED.'!E37</f>
        <v>0</v>
      </c>
      <c r="F37" s="290">
        <f>'68.02.05.02 SF.NICOLAE'!F37+'CENTR. DE RECUP.MED.'!F37</f>
        <v>1</v>
      </c>
      <c r="G37" s="290">
        <f>'68.02.05.02 SF.NICOLAE'!G37+'CENTR. DE RECUP.MED.'!G37</f>
        <v>0</v>
      </c>
      <c r="H37" s="290">
        <f>'68.02.05.02 SF.NICOLAE'!H37+'CENTR. DE RECUP.MED.'!H37</f>
        <v>1</v>
      </c>
      <c r="I37" s="290">
        <f>'68.02.05.02 SF.NICOLAE'!I37+'CENTR. DE RECUP.MED.'!I37</f>
        <v>0</v>
      </c>
      <c r="J37" s="290">
        <f>'68.02.05.02 SF.NICOLAE'!J37+'CENTR. DE RECUP.MED.'!J37</f>
        <v>0</v>
      </c>
      <c r="K37" s="250"/>
      <c r="L37" s="91"/>
      <c r="M37" s="251"/>
    </row>
    <row r="38" spans="1:16" s="4" customFormat="1" x14ac:dyDescent="0.2">
      <c r="A38" s="47">
        <v>27</v>
      </c>
      <c r="B38" s="59" t="s">
        <v>66</v>
      </c>
      <c r="C38" s="41"/>
      <c r="D38" s="290">
        <f>'68.02.05.02 SF.NICOLAE'!D38+'CENTR. DE RECUP.MED.'!D38</f>
        <v>0</v>
      </c>
      <c r="E38" s="290">
        <f>'68.02.05.02 SF.NICOLAE'!E38+'CENTR. DE RECUP.MED.'!E38</f>
        <v>0</v>
      </c>
      <c r="F38" s="290">
        <f>'68.02.05.02 SF.NICOLAE'!F38+'CENTR. DE RECUP.MED.'!F38</f>
        <v>0</v>
      </c>
      <c r="G38" s="290">
        <f>'68.02.05.02 SF.NICOLAE'!G38+'CENTR. DE RECUP.MED.'!G38</f>
        <v>0</v>
      </c>
      <c r="H38" s="290">
        <f>'68.02.05.02 SF.NICOLAE'!H38+'CENTR. DE RECUP.MED.'!H38</f>
        <v>0</v>
      </c>
      <c r="I38" s="290">
        <f>'68.02.05.02 SF.NICOLAE'!I38+'CENTR. DE RECUP.MED.'!I38</f>
        <v>0</v>
      </c>
      <c r="J38" s="290">
        <f>'68.02.05.02 SF.NICOLAE'!J38+'CENTR. DE RECUP.MED.'!J38</f>
        <v>0</v>
      </c>
      <c r="K38" s="250"/>
      <c r="L38" s="91"/>
      <c r="M38" s="251"/>
    </row>
    <row r="39" spans="1:16" s="4" customFormat="1" x14ac:dyDescent="0.2">
      <c r="A39" s="47">
        <v>28</v>
      </c>
      <c r="B39" s="59" t="s">
        <v>67</v>
      </c>
      <c r="C39" s="41"/>
      <c r="D39" s="290">
        <f>'68.02.05.02 SF.NICOLAE'!D39+'CENTR. DE RECUP.MED.'!D39</f>
        <v>0</v>
      </c>
      <c r="E39" s="290">
        <f>'68.02.05.02 SF.NICOLAE'!E39+'CENTR. DE RECUP.MED.'!E39</f>
        <v>0</v>
      </c>
      <c r="F39" s="290">
        <f>'68.02.05.02 SF.NICOLAE'!F39+'CENTR. DE RECUP.MED.'!F39</f>
        <v>0</v>
      </c>
      <c r="G39" s="290">
        <f>'68.02.05.02 SF.NICOLAE'!G39+'CENTR. DE RECUP.MED.'!G39</f>
        <v>0</v>
      </c>
      <c r="H39" s="290">
        <f>'68.02.05.02 SF.NICOLAE'!H39+'CENTR. DE RECUP.MED.'!H39</f>
        <v>0</v>
      </c>
      <c r="I39" s="290">
        <f>'68.02.05.02 SF.NICOLAE'!I39+'CENTR. DE RECUP.MED.'!I39</f>
        <v>0</v>
      </c>
      <c r="J39" s="290">
        <f>'68.02.05.02 SF.NICOLAE'!J39+'CENTR. DE RECUP.MED.'!J39</f>
        <v>0</v>
      </c>
      <c r="K39" s="250"/>
      <c r="L39" s="91"/>
      <c r="M39" s="251"/>
    </row>
    <row r="40" spans="1:16" s="4" customFormat="1" x14ac:dyDescent="0.2">
      <c r="A40" s="47">
        <v>29</v>
      </c>
      <c r="B40" s="55" t="s">
        <v>68</v>
      </c>
      <c r="C40" s="56" t="s">
        <v>69</v>
      </c>
      <c r="D40" s="293">
        <f>'68.02.05.02 SF.NICOLAE'!D40+'CENTR. DE RECUP.MED.'!D40</f>
        <v>0</v>
      </c>
      <c r="E40" s="293">
        <f>'68.02.05.02 SF.NICOLAE'!E40+'CENTR. DE RECUP.MED.'!E40</f>
        <v>0</v>
      </c>
      <c r="F40" s="293">
        <f>'68.02.05.02 SF.NICOLAE'!F40+'CENTR. DE RECUP.MED.'!F40</f>
        <v>1</v>
      </c>
      <c r="G40" s="293">
        <f>'68.02.05.02 SF.NICOLAE'!G40+'CENTR. DE RECUP.MED.'!G40</f>
        <v>1</v>
      </c>
      <c r="H40" s="293">
        <f>'68.02.05.02 SF.NICOLAE'!H40+'CENTR. DE RECUP.MED.'!H40</f>
        <v>0</v>
      </c>
      <c r="I40" s="293">
        <f>'68.02.05.02 SF.NICOLAE'!I40+'CENTR. DE RECUP.MED.'!I40</f>
        <v>0</v>
      </c>
      <c r="J40" s="293">
        <f>'68.02.05.02 SF.NICOLAE'!J40+'CENTR. DE RECUP.MED.'!J40</f>
        <v>0</v>
      </c>
      <c r="K40" s="250"/>
      <c r="L40" s="91"/>
      <c r="M40" s="251"/>
      <c r="P40" s="51"/>
    </row>
    <row r="41" spans="1:16" s="4" customFormat="1" x14ac:dyDescent="0.2">
      <c r="A41" s="47">
        <v>30</v>
      </c>
      <c r="B41" s="59" t="s">
        <v>70</v>
      </c>
      <c r="C41" s="56"/>
      <c r="D41" s="290">
        <f>'68.02.05.02 SF.NICOLAE'!D41+'CENTR. DE RECUP.MED.'!D41</f>
        <v>0</v>
      </c>
      <c r="E41" s="290">
        <f>'68.02.05.02 SF.NICOLAE'!E41+'CENTR. DE RECUP.MED.'!E41</f>
        <v>0</v>
      </c>
      <c r="F41" s="290">
        <f>'68.02.05.02 SF.NICOLAE'!F41+'CENTR. DE RECUP.MED.'!F41</f>
        <v>1</v>
      </c>
      <c r="G41" s="290">
        <f>'68.02.05.02 SF.NICOLAE'!G41+'CENTR. DE RECUP.MED.'!G41</f>
        <v>1</v>
      </c>
      <c r="H41" s="290">
        <f>'68.02.05.02 SF.NICOLAE'!H41+'CENTR. DE RECUP.MED.'!H41</f>
        <v>0</v>
      </c>
      <c r="I41" s="290">
        <f>'68.02.05.02 SF.NICOLAE'!I41+'CENTR. DE RECUP.MED.'!I41</f>
        <v>0</v>
      </c>
      <c r="J41" s="290">
        <f>'68.02.05.02 SF.NICOLAE'!J41+'CENTR. DE RECUP.MED.'!J41</f>
        <v>0</v>
      </c>
      <c r="K41" s="250"/>
      <c r="L41" s="91"/>
      <c r="M41" s="251"/>
    </row>
    <row r="42" spans="1:16" s="4" customFormat="1" x14ac:dyDescent="0.2">
      <c r="A42" s="47">
        <v>31</v>
      </c>
      <c r="B42" s="59" t="s">
        <v>71</v>
      </c>
      <c r="C42" s="56"/>
      <c r="D42" s="290">
        <f>'68.02.05.02 SF.NICOLAE'!D42+'CENTR. DE RECUP.MED.'!D42</f>
        <v>0</v>
      </c>
      <c r="E42" s="290">
        <f>'68.02.05.02 SF.NICOLAE'!E42+'CENTR. DE RECUP.MED.'!E42</f>
        <v>0</v>
      </c>
      <c r="F42" s="290">
        <f>'68.02.05.02 SF.NICOLAE'!F42+'CENTR. DE RECUP.MED.'!F42</f>
        <v>0</v>
      </c>
      <c r="G42" s="290">
        <f>'68.02.05.02 SF.NICOLAE'!G42+'CENTR. DE RECUP.MED.'!G42</f>
        <v>0</v>
      </c>
      <c r="H42" s="290">
        <f>'68.02.05.02 SF.NICOLAE'!H42+'CENTR. DE RECUP.MED.'!H42</f>
        <v>0</v>
      </c>
      <c r="I42" s="290">
        <f>'68.02.05.02 SF.NICOLAE'!I42+'CENTR. DE RECUP.MED.'!I42</f>
        <v>0</v>
      </c>
      <c r="J42" s="290">
        <f>'68.02.05.02 SF.NICOLAE'!J42+'CENTR. DE RECUP.MED.'!J42</f>
        <v>0</v>
      </c>
      <c r="K42" s="250"/>
      <c r="L42" s="91"/>
      <c r="M42" s="251"/>
    </row>
    <row r="43" spans="1:16" s="4" customFormat="1" x14ac:dyDescent="0.2">
      <c r="A43" s="47">
        <v>32</v>
      </c>
      <c r="B43" s="59" t="s">
        <v>72</v>
      </c>
      <c r="C43" s="41" t="s">
        <v>73</v>
      </c>
      <c r="D43" s="293">
        <f>'68.02.05.02 SF.NICOLAE'!D43+'CENTR. DE RECUP.MED.'!D43</f>
        <v>0</v>
      </c>
      <c r="E43" s="293">
        <f>'68.02.05.02 SF.NICOLAE'!E43+'CENTR. DE RECUP.MED.'!E43</f>
        <v>0</v>
      </c>
      <c r="F43" s="293">
        <f>'68.02.05.02 SF.NICOLAE'!F43+'CENTR. DE RECUP.MED.'!F43</f>
        <v>16</v>
      </c>
      <c r="G43" s="293">
        <f>'68.02.05.02 SF.NICOLAE'!G43+'CENTR. DE RECUP.MED.'!G43</f>
        <v>8</v>
      </c>
      <c r="H43" s="293">
        <f>'68.02.05.02 SF.NICOLAE'!H43+'CENTR. DE RECUP.MED.'!H43</f>
        <v>4</v>
      </c>
      <c r="I43" s="293">
        <f>'68.02.05.02 SF.NICOLAE'!I43+'CENTR. DE RECUP.MED.'!I43</f>
        <v>3</v>
      </c>
      <c r="J43" s="293">
        <f>'68.02.05.02 SF.NICOLAE'!J43+'CENTR. DE RECUP.MED.'!J43</f>
        <v>1</v>
      </c>
      <c r="K43" s="250"/>
      <c r="L43" s="91"/>
      <c r="M43" s="251"/>
    </row>
    <row r="44" spans="1:16" s="4" customFormat="1" x14ac:dyDescent="0.2">
      <c r="A44" s="47">
        <v>33</v>
      </c>
      <c r="B44" s="59" t="s">
        <v>74</v>
      </c>
      <c r="C44" s="41" t="s">
        <v>75</v>
      </c>
      <c r="D44" s="293">
        <f>'68.02.05.02 SF.NICOLAE'!D44+'CENTR. DE RECUP.MED.'!D44</f>
        <v>0</v>
      </c>
      <c r="E44" s="293">
        <f>'68.02.05.02 SF.NICOLAE'!E44+'CENTR. DE RECUP.MED.'!E44</f>
        <v>0</v>
      </c>
      <c r="F44" s="293">
        <f>'68.02.05.02 SF.NICOLAE'!F44+'CENTR. DE RECUP.MED.'!F44</f>
        <v>22</v>
      </c>
      <c r="G44" s="293">
        <f>'68.02.05.02 SF.NICOLAE'!G44+'CENTR. DE RECUP.MED.'!G44</f>
        <v>10</v>
      </c>
      <c r="H44" s="293">
        <f>'68.02.05.02 SF.NICOLAE'!H44+'CENTR. DE RECUP.MED.'!H44</f>
        <v>10</v>
      </c>
      <c r="I44" s="293">
        <f>'68.02.05.02 SF.NICOLAE'!I44+'CENTR. DE RECUP.MED.'!I44</f>
        <v>1</v>
      </c>
      <c r="J44" s="293">
        <f>'68.02.05.02 SF.NICOLAE'!J44+'CENTR. DE RECUP.MED.'!J44</f>
        <v>1</v>
      </c>
      <c r="K44" s="250"/>
      <c r="L44" s="91"/>
      <c r="M44" s="251"/>
    </row>
    <row r="45" spans="1:16" s="4" customFormat="1" x14ac:dyDescent="0.2">
      <c r="A45" s="47">
        <v>34</v>
      </c>
      <c r="B45" s="59" t="s">
        <v>76</v>
      </c>
      <c r="C45" s="41" t="s">
        <v>77</v>
      </c>
      <c r="D45" s="290">
        <f>'68.02.05.02 SF.NICOLAE'!D45+'CENTR. DE RECUP.MED.'!D45</f>
        <v>0</v>
      </c>
      <c r="E45" s="290">
        <f>'68.02.05.02 SF.NICOLAE'!E45+'CENTR. DE RECUP.MED.'!E45</f>
        <v>0</v>
      </c>
      <c r="F45" s="290">
        <f>'68.02.05.02 SF.NICOLAE'!F45+'CENTR. DE RECUP.MED.'!F45</f>
        <v>0</v>
      </c>
      <c r="G45" s="290">
        <f>'68.02.05.02 SF.NICOLAE'!G45+'CENTR. DE RECUP.MED.'!G45</f>
        <v>0</v>
      </c>
      <c r="H45" s="290">
        <f>'68.02.05.02 SF.NICOLAE'!H45+'CENTR. DE RECUP.MED.'!H45</f>
        <v>0</v>
      </c>
      <c r="I45" s="290">
        <f>'68.02.05.02 SF.NICOLAE'!I45+'CENTR. DE RECUP.MED.'!I45</f>
        <v>0</v>
      </c>
      <c r="J45" s="290">
        <f>'68.02.05.02 SF.NICOLAE'!J45+'CENTR. DE RECUP.MED.'!J45</f>
        <v>0</v>
      </c>
      <c r="K45" s="250"/>
      <c r="L45" s="91"/>
      <c r="M45" s="251"/>
    </row>
    <row r="46" spans="1:16" s="4" customFormat="1" x14ac:dyDescent="0.2">
      <c r="A46" s="47">
        <v>35</v>
      </c>
      <c r="B46" s="59" t="s">
        <v>78</v>
      </c>
      <c r="C46" s="41" t="s">
        <v>79</v>
      </c>
      <c r="D46" s="290">
        <f>'68.02.05.02 SF.NICOLAE'!D46+'CENTR. DE RECUP.MED.'!D46</f>
        <v>0</v>
      </c>
      <c r="E46" s="290">
        <f>'68.02.05.02 SF.NICOLAE'!E46+'CENTR. DE RECUP.MED.'!E46</f>
        <v>0</v>
      </c>
      <c r="F46" s="290">
        <f>'68.02.05.02 SF.NICOLAE'!F46+'CENTR. DE RECUP.MED.'!F46</f>
        <v>0</v>
      </c>
      <c r="G46" s="290">
        <f>'68.02.05.02 SF.NICOLAE'!G46+'CENTR. DE RECUP.MED.'!G46</f>
        <v>0</v>
      </c>
      <c r="H46" s="290">
        <f>'68.02.05.02 SF.NICOLAE'!H46+'CENTR. DE RECUP.MED.'!H46</f>
        <v>0</v>
      </c>
      <c r="I46" s="290">
        <f>'68.02.05.02 SF.NICOLAE'!I46+'CENTR. DE RECUP.MED.'!I46</f>
        <v>0</v>
      </c>
      <c r="J46" s="290">
        <f>'68.02.05.02 SF.NICOLAE'!J46+'CENTR. DE RECUP.MED.'!J46</f>
        <v>0</v>
      </c>
      <c r="K46" s="250"/>
      <c r="L46" s="91"/>
      <c r="M46" s="251"/>
    </row>
    <row r="47" spans="1:16" s="4" customFormat="1" x14ac:dyDescent="0.2">
      <c r="A47" s="47">
        <v>36</v>
      </c>
      <c r="B47" s="59" t="s">
        <v>80</v>
      </c>
      <c r="C47" s="41" t="s">
        <v>81</v>
      </c>
      <c r="D47" s="293">
        <f>'68.02.05.02 SF.NICOLAE'!D47+'CENTR. DE RECUP.MED.'!D47</f>
        <v>0</v>
      </c>
      <c r="E47" s="293">
        <f>'68.02.05.02 SF.NICOLAE'!E47+'CENTR. DE RECUP.MED.'!E47</f>
        <v>0</v>
      </c>
      <c r="F47" s="293">
        <f>'68.02.05.02 SF.NICOLAE'!F47+'CENTR. DE RECUP.MED.'!F47</f>
        <v>2</v>
      </c>
      <c r="G47" s="293">
        <f>'68.02.05.02 SF.NICOLAE'!G47+'CENTR. DE RECUP.MED.'!G47</f>
        <v>1</v>
      </c>
      <c r="H47" s="293">
        <f>'68.02.05.02 SF.NICOLAE'!H47+'CENTR. DE RECUP.MED.'!H47</f>
        <v>1</v>
      </c>
      <c r="I47" s="293">
        <f>'68.02.05.02 SF.NICOLAE'!I47+'CENTR. DE RECUP.MED.'!I47</f>
        <v>0</v>
      </c>
      <c r="J47" s="293">
        <f>'68.02.05.02 SF.NICOLAE'!J47+'CENTR. DE RECUP.MED.'!J47</f>
        <v>0</v>
      </c>
      <c r="K47" s="250"/>
      <c r="L47" s="91"/>
      <c r="M47" s="251"/>
    </row>
    <row r="48" spans="1:16" s="4" customFormat="1" x14ac:dyDescent="0.2">
      <c r="A48" s="47">
        <v>37</v>
      </c>
      <c r="B48" s="59" t="s">
        <v>80</v>
      </c>
      <c r="C48" s="41"/>
      <c r="D48" s="290">
        <f>'68.02.05.02 SF.NICOLAE'!D48+'CENTR. DE RECUP.MED.'!D48</f>
        <v>0</v>
      </c>
      <c r="E48" s="290">
        <f>'68.02.05.02 SF.NICOLAE'!E48+'CENTR. DE RECUP.MED.'!E48</f>
        <v>0</v>
      </c>
      <c r="F48" s="290">
        <f>'68.02.05.02 SF.NICOLAE'!F48+'CENTR. DE RECUP.MED.'!F48</f>
        <v>2</v>
      </c>
      <c r="G48" s="290">
        <f>'68.02.05.02 SF.NICOLAE'!G48+'CENTR. DE RECUP.MED.'!G48</f>
        <v>1</v>
      </c>
      <c r="H48" s="290">
        <f>'68.02.05.02 SF.NICOLAE'!H48+'CENTR. DE RECUP.MED.'!H48</f>
        <v>1</v>
      </c>
      <c r="I48" s="290">
        <f>'68.02.05.02 SF.NICOLAE'!I48+'CENTR. DE RECUP.MED.'!I48</f>
        <v>0</v>
      </c>
      <c r="J48" s="290">
        <f>'68.02.05.02 SF.NICOLAE'!J48+'CENTR. DE RECUP.MED.'!J48</f>
        <v>0</v>
      </c>
      <c r="K48" s="250"/>
      <c r="L48" s="91"/>
      <c r="M48" s="251"/>
    </row>
    <row r="49" spans="1:13" s="4" customFormat="1" x14ac:dyDescent="0.2">
      <c r="A49" s="47">
        <v>38</v>
      </c>
      <c r="B49" s="59" t="s">
        <v>82</v>
      </c>
      <c r="C49" s="41"/>
      <c r="D49" s="290">
        <f>'68.02.05.02 SF.NICOLAE'!D49+'CENTR. DE RECUP.MED.'!D49</f>
        <v>0</v>
      </c>
      <c r="E49" s="290">
        <f>'68.02.05.02 SF.NICOLAE'!E49+'CENTR. DE RECUP.MED.'!E49</f>
        <v>0</v>
      </c>
      <c r="F49" s="290">
        <f>'68.02.05.02 SF.NICOLAE'!F49+'CENTR. DE RECUP.MED.'!F49</f>
        <v>0</v>
      </c>
      <c r="G49" s="290">
        <f>'68.02.05.02 SF.NICOLAE'!G49+'CENTR. DE RECUP.MED.'!G49</f>
        <v>0</v>
      </c>
      <c r="H49" s="290">
        <f>'68.02.05.02 SF.NICOLAE'!H49+'CENTR. DE RECUP.MED.'!H49</f>
        <v>0</v>
      </c>
      <c r="I49" s="290">
        <f>'68.02.05.02 SF.NICOLAE'!I49+'CENTR. DE RECUP.MED.'!I49</f>
        <v>0</v>
      </c>
      <c r="J49" s="290">
        <f>'68.02.05.02 SF.NICOLAE'!J49+'CENTR. DE RECUP.MED.'!J49</f>
        <v>0</v>
      </c>
      <c r="K49" s="250"/>
      <c r="L49" s="91"/>
      <c r="M49" s="251"/>
    </row>
    <row r="50" spans="1:13" s="4" customFormat="1" x14ac:dyDescent="0.2">
      <c r="A50" s="47">
        <v>39</v>
      </c>
      <c r="B50" s="73" t="s">
        <v>83</v>
      </c>
      <c r="C50" s="56" t="s">
        <v>84</v>
      </c>
      <c r="D50" s="293">
        <f>'68.02.05.02 SF.NICOLAE'!D50+'CENTR. DE RECUP.MED.'!D50</f>
        <v>0</v>
      </c>
      <c r="E50" s="293">
        <f>'68.02.05.02 SF.NICOLAE'!E50+'CENTR. DE RECUP.MED.'!E50</f>
        <v>0</v>
      </c>
      <c r="F50" s="293">
        <f>'68.02.05.02 SF.NICOLAE'!F50+'CENTR. DE RECUP.MED.'!F50</f>
        <v>1</v>
      </c>
      <c r="G50" s="293">
        <f>'68.02.05.02 SF.NICOLAE'!G50+'CENTR. DE RECUP.MED.'!G50</f>
        <v>0</v>
      </c>
      <c r="H50" s="293">
        <f>'68.02.05.02 SF.NICOLAE'!H50+'CENTR. DE RECUP.MED.'!H50</f>
        <v>1</v>
      </c>
      <c r="I50" s="293">
        <f>'68.02.05.02 SF.NICOLAE'!I50+'CENTR. DE RECUP.MED.'!I50</f>
        <v>0</v>
      </c>
      <c r="J50" s="293">
        <f>'68.02.05.02 SF.NICOLAE'!J50+'CENTR. DE RECUP.MED.'!J50</f>
        <v>0</v>
      </c>
      <c r="K50" s="250"/>
      <c r="L50" s="91"/>
      <c r="M50" s="251"/>
    </row>
    <row r="51" spans="1:13" s="4" customFormat="1" x14ac:dyDescent="0.2">
      <c r="A51" s="47">
        <v>40</v>
      </c>
      <c r="B51" s="74" t="s">
        <v>83</v>
      </c>
      <c r="C51" s="41"/>
      <c r="D51" s="290">
        <f>'68.02.05.02 SF.NICOLAE'!D51+'CENTR. DE RECUP.MED.'!D51</f>
        <v>0</v>
      </c>
      <c r="E51" s="290">
        <f>'68.02.05.02 SF.NICOLAE'!E51+'CENTR. DE RECUP.MED.'!E51</f>
        <v>0</v>
      </c>
      <c r="F51" s="290">
        <f>'68.02.05.02 SF.NICOLAE'!F51+'CENTR. DE RECUP.MED.'!F51</f>
        <v>1</v>
      </c>
      <c r="G51" s="290">
        <f>'68.02.05.02 SF.NICOLAE'!G51+'CENTR. DE RECUP.MED.'!G51</f>
        <v>0</v>
      </c>
      <c r="H51" s="290">
        <f>'68.02.05.02 SF.NICOLAE'!H51+'CENTR. DE RECUP.MED.'!H51</f>
        <v>1</v>
      </c>
      <c r="I51" s="290">
        <f>'68.02.05.02 SF.NICOLAE'!I51+'CENTR. DE RECUP.MED.'!I51</f>
        <v>0</v>
      </c>
      <c r="J51" s="290">
        <f>'68.02.05.02 SF.NICOLAE'!J51+'CENTR. DE RECUP.MED.'!J51</f>
        <v>0</v>
      </c>
      <c r="K51" s="250"/>
      <c r="L51" s="91"/>
      <c r="M51" s="251"/>
    </row>
    <row r="52" spans="1:13" s="4" customFormat="1" x14ac:dyDescent="0.2">
      <c r="A52" s="47">
        <v>41</v>
      </c>
      <c r="B52" s="74" t="s">
        <v>85</v>
      </c>
      <c r="C52" s="41"/>
      <c r="D52" s="290">
        <f>'68.02.05.02 SF.NICOLAE'!D52+'CENTR. DE RECUP.MED.'!D52</f>
        <v>0</v>
      </c>
      <c r="E52" s="290">
        <f>'68.02.05.02 SF.NICOLAE'!E52+'CENTR. DE RECUP.MED.'!E52</f>
        <v>0</v>
      </c>
      <c r="F52" s="290">
        <f>'68.02.05.02 SF.NICOLAE'!F52+'CENTR. DE RECUP.MED.'!F52</f>
        <v>0</v>
      </c>
      <c r="G52" s="290">
        <f>'68.02.05.02 SF.NICOLAE'!G52+'CENTR. DE RECUP.MED.'!G52</f>
        <v>0</v>
      </c>
      <c r="H52" s="290">
        <f>'68.02.05.02 SF.NICOLAE'!H52+'CENTR. DE RECUP.MED.'!H52</f>
        <v>0</v>
      </c>
      <c r="I52" s="290">
        <f>'68.02.05.02 SF.NICOLAE'!I52+'CENTR. DE RECUP.MED.'!I52</f>
        <v>0</v>
      </c>
      <c r="J52" s="290">
        <f>'68.02.05.02 SF.NICOLAE'!J52+'CENTR. DE RECUP.MED.'!J52</f>
        <v>0</v>
      </c>
      <c r="K52" s="250"/>
      <c r="L52" s="91"/>
      <c r="M52" s="251"/>
    </row>
    <row r="53" spans="1:13" s="4" customFormat="1" x14ac:dyDescent="0.2">
      <c r="A53" s="47">
        <v>42</v>
      </c>
      <c r="B53" s="55" t="s">
        <v>86</v>
      </c>
      <c r="C53" s="56" t="s">
        <v>87</v>
      </c>
      <c r="D53" s="293">
        <f>'68.02.05.02 SF.NICOLAE'!D53+'CENTR. DE RECUP.MED.'!D53</f>
        <v>0</v>
      </c>
      <c r="E53" s="293">
        <f>'68.02.05.02 SF.NICOLAE'!E53+'CENTR. DE RECUP.MED.'!E53</f>
        <v>0</v>
      </c>
      <c r="F53" s="293">
        <f>'68.02.05.02 SF.NICOLAE'!F53+'CENTR. DE RECUP.MED.'!F53</f>
        <v>11</v>
      </c>
      <c r="G53" s="293">
        <f>'68.02.05.02 SF.NICOLAE'!G53+'CENTR. DE RECUP.MED.'!G53</f>
        <v>5</v>
      </c>
      <c r="H53" s="293">
        <f>'68.02.05.02 SF.NICOLAE'!H53+'CENTR. DE RECUP.MED.'!H53</f>
        <v>5</v>
      </c>
      <c r="I53" s="293">
        <f>'68.02.05.02 SF.NICOLAE'!I53+'CENTR. DE RECUP.MED.'!I53</f>
        <v>1</v>
      </c>
      <c r="J53" s="293">
        <f>'68.02.05.02 SF.NICOLAE'!J53+'CENTR. DE RECUP.MED.'!J53</f>
        <v>0</v>
      </c>
      <c r="K53" s="250"/>
      <c r="L53" s="91"/>
      <c r="M53" s="251"/>
    </row>
    <row r="54" spans="1:13" s="4" customFormat="1" x14ac:dyDescent="0.2">
      <c r="A54" s="47">
        <v>43</v>
      </c>
      <c r="B54" s="59" t="s">
        <v>88</v>
      </c>
      <c r="C54" s="41"/>
      <c r="D54" s="293">
        <f>'68.02.05.02 SF.NICOLAE'!D54+'CENTR. DE RECUP.MED.'!D54</f>
        <v>0</v>
      </c>
      <c r="E54" s="290">
        <f>'68.02.05.02 SF.NICOLAE'!E54+'CENTR. DE RECUP.MED.'!E54</f>
        <v>0</v>
      </c>
      <c r="F54" s="290">
        <f>'68.02.05.02 SF.NICOLAE'!F54+'CENTR. DE RECUP.MED.'!F54</f>
        <v>7</v>
      </c>
      <c r="G54" s="290">
        <f>'68.02.05.02 SF.NICOLAE'!G54+'CENTR. DE RECUP.MED.'!G54</f>
        <v>3</v>
      </c>
      <c r="H54" s="290">
        <f>'68.02.05.02 SF.NICOLAE'!H54+'CENTR. DE RECUP.MED.'!H54</f>
        <v>3</v>
      </c>
      <c r="I54" s="290">
        <f>'68.02.05.02 SF.NICOLAE'!I54+'CENTR. DE RECUP.MED.'!I54</f>
        <v>1</v>
      </c>
      <c r="J54" s="290">
        <f>'68.02.05.02 SF.NICOLAE'!J54+'CENTR. DE RECUP.MED.'!J54</f>
        <v>0</v>
      </c>
      <c r="K54" s="250"/>
      <c r="L54" s="91"/>
      <c r="M54" s="251"/>
    </row>
    <row r="55" spans="1:13" s="4" customFormat="1" x14ac:dyDescent="0.2">
      <c r="A55" s="47">
        <v>44</v>
      </c>
      <c r="B55" s="59" t="s">
        <v>89</v>
      </c>
      <c r="C55" s="41"/>
      <c r="D55" s="293">
        <f>'68.02.05.02 SF.NICOLAE'!D55+'CENTR. DE RECUP.MED.'!D55</f>
        <v>0</v>
      </c>
      <c r="E55" s="290">
        <f>'68.02.05.02 SF.NICOLAE'!E55+'CENTR. DE RECUP.MED.'!E55</f>
        <v>0</v>
      </c>
      <c r="F55" s="290">
        <f>'68.02.05.02 SF.NICOLAE'!F55+'CENTR. DE RECUP.MED.'!F55</f>
        <v>4</v>
      </c>
      <c r="G55" s="290">
        <f>'68.02.05.02 SF.NICOLAE'!G55+'CENTR. DE RECUP.MED.'!G55</f>
        <v>2</v>
      </c>
      <c r="H55" s="290">
        <f>'68.02.05.02 SF.NICOLAE'!H55+'CENTR. DE RECUP.MED.'!H55</f>
        <v>2</v>
      </c>
      <c r="I55" s="290">
        <f>'68.02.05.02 SF.NICOLAE'!I55+'CENTR. DE RECUP.MED.'!I55</f>
        <v>0</v>
      </c>
      <c r="J55" s="290">
        <f>'68.02.05.02 SF.NICOLAE'!J55+'CENTR. DE RECUP.MED.'!J55</f>
        <v>0</v>
      </c>
      <c r="K55" s="250"/>
      <c r="L55" s="91"/>
      <c r="M55" s="251"/>
    </row>
    <row r="56" spans="1:13" s="4" customFormat="1" x14ac:dyDescent="0.2">
      <c r="A56" s="47">
        <v>45</v>
      </c>
      <c r="B56" s="59" t="s">
        <v>233</v>
      </c>
      <c r="C56" s="41"/>
      <c r="D56" s="293">
        <f>'68.02.05.02 SF.NICOLAE'!D56+'CENTR. DE RECUP.MED.'!D56</f>
        <v>0</v>
      </c>
      <c r="E56" s="290">
        <f>'68.02.05.02 SF.NICOLAE'!E56+'CENTR. DE RECUP.MED.'!E56</f>
        <v>0</v>
      </c>
      <c r="F56" s="290">
        <f>'68.02.05.02 SF.NICOLAE'!F56+'CENTR. DE RECUP.MED.'!F56</f>
        <v>0</v>
      </c>
      <c r="G56" s="290">
        <f>'68.02.05.02 SF.NICOLAE'!G56+'CENTR. DE RECUP.MED.'!G56</f>
        <v>0</v>
      </c>
      <c r="H56" s="290">
        <f>'68.02.05.02 SF.NICOLAE'!H56+'CENTR. DE RECUP.MED.'!H56</f>
        <v>0</v>
      </c>
      <c r="I56" s="290">
        <f>'68.02.05.02 SF.NICOLAE'!I56+'CENTR. DE RECUP.MED.'!I56</f>
        <v>0</v>
      </c>
      <c r="J56" s="290">
        <f>'68.02.05.02 SF.NICOLAE'!J56+'CENTR. DE RECUP.MED.'!J56</f>
        <v>0</v>
      </c>
      <c r="K56" s="104"/>
      <c r="L56" s="103"/>
      <c r="M56" s="105"/>
    </row>
    <row r="57" spans="1:13" s="4" customFormat="1" x14ac:dyDescent="0.2">
      <c r="A57" s="47">
        <v>46</v>
      </c>
      <c r="B57" s="55" t="s">
        <v>91</v>
      </c>
      <c r="C57" s="75" t="s">
        <v>92</v>
      </c>
      <c r="D57" s="293">
        <f>'68.02.05.02 SF.NICOLAE'!D57+'CENTR. DE RECUP.MED.'!D57</f>
        <v>0</v>
      </c>
      <c r="E57" s="290">
        <f>'68.02.05.02 SF.NICOLAE'!E57+'CENTR. DE RECUP.MED.'!E57</f>
        <v>0</v>
      </c>
      <c r="F57" s="290">
        <f>'68.02.05.02 SF.NICOLAE'!F57+'CENTR. DE RECUP.MED.'!F57</f>
        <v>0</v>
      </c>
      <c r="G57" s="290">
        <f>'68.02.05.02 SF.NICOLAE'!G57+'CENTR. DE RECUP.MED.'!G57</f>
        <v>0</v>
      </c>
      <c r="H57" s="290">
        <f>'68.02.05.02 SF.NICOLAE'!H57+'CENTR. DE RECUP.MED.'!H57</f>
        <v>0</v>
      </c>
      <c r="I57" s="290">
        <f>'68.02.05.02 SF.NICOLAE'!I57+'CENTR. DE RECUP.MED.'!I57</f>
        <v>0</v>
      </c>
      <c r="J57" s="290">
        <f>'68.02.05.02 SF.NICOLAE'!J57+'CENTR. DE RECUP.MED.'!J57</f>
        <v>0</v>
      </c>
      <c r="K57" s="104"/>
      <c r="L57" s="103"/>
      <c r="M57" s="105"/>
    </row>
    <row r="58" spans="1:13" s="4" customFormat="1" x14ac:dyDescent="0.2">
      <c r="A58" s="47">
        <v>47</v>
      </c>
      <c r="B58" s="74" t="s">
        <v>93</v>
      </c>
      <c r="C58" s="56" t="s">
        <v>94</v>
      </c>
      <c r="D58" s="293">
        <f>'68.02.05.02 SF.NICOLAE'!D58+'CENTR. DE RECUP.MED.'!D58</f>
        <v>0</v>
      </c>
      <c r="E58" s="293">
        <f>'68.02.05.02 SF.NICOLAE'!E58+'CENTR. DE RECUP.MED.'!E58</f>
        <v>0</v>
      </c>
      <c r="F58" s="293">
        <f>'68.02.05.02 SF.NICOLAE'!F58+'CENTR. DE RECUP.MED.'!F58</f>
        <v>8</v>
      </c>
      <c r="G58" s="293">
        <f>'68.02.05.02 SF.NICOLAE'!G58+'CENTR. DE RECUP.MED.'!G58</f>
        <v>3</v>
      </c>
      <c r="H58" s="293">
        <f>'68.02.05.02 SF.NICOLAE'!H58+'CENTR. DE RECUP.MED.'!H58</f>
        <v>3</v>
      </c>
      <c r="I58" s="293">
        <f>'68.02.05.02 SF.NICOLAE'!I58+'CENTR. DE RECUP.MED.'!I58</f>
        <v>1</v>
      </c>
      <c r="J58" s="293">
        <f>'68.02.05.02 SF.NICOLAE'!J58+'CENTR. DE RECUP.MED.'!J58</f>
        <v>1</v>
      </c>
      <c r="K58" s="104"/>
      <c r="L58" s="103"/>
      <c r="M58" s="105"/>
    </row>
    <row r="59" spans="1:13" s="4" customFormat="1" x14ac:dyDescent="0.2">
      <c r="A59" s="47">
        <v>48</v>
      </c>
      <c r="B59" s="55" t="s">
        <v>95</v>
      </c>
      <c r="C59" s="56" t="s">
        <v>96</v>
      </c>
      <c r="D59" s="293">
        <f>'68.02.05.02 SF.NICOLAE'!D59+'CENTR. DE RECUP.MED.'!D59</f>
        <v>0</v>
      </c>
      <c r="E59" s="293">
        <f>'68.02.05.02 SF.NICOLAE'!E59+'CENTR. DE RECUP.MED.'!E59</f>
        <v>0</v>
      </c>
      <c r="F59" s="293">
        <f>'68.02.05.02 SF.NICOLAE'!F59+'CENTR. DE RECUP.MED.'!F59</f>
        <v>2</v>
      </c>
      <c r="G59" s="293">
        <f>'68.02.05.02 SF.NICOLAE'!G59+'CENTR. DE RECUP.MED.'!G59</f>
        <v>1</v>
      </c>
      <c r="H59" s="293">
        <f>'68.02.05.02 SF.NICOLAE'!H59+'CENTR. DE RECUP.MED.'!H59</f>
        <v>1</v>
      </c>
      <c r="I59" s="293">
        <f>'68.02.05.02 SF.NICOLAE'!I59+'CENTR. DE RECUP.MED.'!I59</f>
        <v>0</v>
      </c>
      <c r="J59" s="293">
        <f>'68.02.05.02 SF.NICOLAE'!J59+'CENTR. DE RECUP.MED.'!J59</f>
        <v>0</v>
      </c>
      <c r="K59" s="104"/>
      <c r="L59" s="103"/>
      <c r="M59" s="105"/>
    </row>
    <row r="60" spans="1:13" s="4" customFormat="1" x14ac:dyDescent="0.2">
      <c r="A60" s="47">
        <v>49</v>
      </c>
      <c r="B60" s="59" t="s">
        <v>97</v>
      </c>
      <c r="C60" s="41" t="s">
        <v>98</v>
      </c>
      <c r="D60" s="290">
        <f>'68.02.05.02 SF.NICOLAE'!D60+'CENTR. DE RECUP.MED.'!D60</f>
        <v>0</v>
      </c>
      <c r="E60" s="290">
        <f>'68.02.05.02 SF.NICOLAE'!E60+'CENTR. DE RECUP.MED.'!E60</f>
        <v>0</v>
      </c>
      <c r="F60" s="290">
        <f>'68.02.05.02 SF.NICOLAE'!F60+'CENTR. DE RECUP.MED.'!F60</f>
        <v>0</v>
      </c>
      <c r="G60" s="290">
        <f>'68.02.05.02 SF.NICOLAE'!G60+'CENTR. DE RECUP.MED.'!G60</f>
        <v>0</v>
      </c>
      <c r="H60" s="290">
        <f>'68.02.05.02 SF.NICOLAE'!H60+'CENTR. DE RECUP.MED.'!H60</f>
        <v>0</v>
      </c>
      <c r="I60" s="290">
        <f>'68.02.05.02 SF.NICOLAE'!I60+'CENTR. DE RECUP.MED.'!I60</f>
        <v>0</v>
      </c>
      <c r="J60" s="290">
        <f>'68.02.05.02 SF.NICOLAE'!J60+'CENTR. DE RECUP.MED.'!J60</f>
        <v>0</v>
      </c>
      <c r="K60" s="250"/>
      <c r="L60" s="91"/>
      <c r="M60" s="251"/>
    </row>
    <row r="61" spans="1:13" s="4" customFormat="1" x14ac:dyDescent="0.2">
      <c r="A61" s="47">
        <v>50</v>
      </c>
      <c r="B61" s="59" t="s">
        <v>99</v>
      </c>
      <c r="C61" s="41" t="s">
        <v>100</v>
      </c>
      <c r="D61" s="290">
        <f>'68.02.05.02 SF.NICOLAE'!D61+'CENTR. DE RECUP.MED.'!D61</f>
        <v>0</v>
      </c>
      <c r="E61" s="290">
        <f>'68.02.05.02 SF.NICOLAE'!E61+'CENTR. DE RECUP.MED.'!E61</f>
        <v>0</v>
      </c>
      <c r="F61" s="290">
        <f>'68.02.05.02 SF.NICOLAE'!F61+'CENTR. DE RECUP.MED.'!F61</f>
        <v>1</v>
      </c>
      <c r="G61" s="290">
        <f>'68.02.05.02 SF.NICOLAE'!G61+'CENTR. DE RECUP.MED.'!G61</f>
        <v>1</v>
      </c>
      <c r="H61" s="290">
        <f>'68.02.05.02 SF.NICOLAE'!H61+'CENTR. DE RECUP.MED.'!H61</f>
        <v>0</v>
      </c>
      <c r="I61" s="290">
        <f>'68.02.05.02 SF.NICOLAE'!I61+'CENTR. DE RECUP.MED.'!I61</f>
        <v>0</v>
      </c>
      <c r="J61" s="290">
        <f>'68.02.05.02 SF.NICOLAE'!J61+'CENTR. DE RECUP.MED.'!J61</f>
        <v>0</v>
      </c>
      <c r="K61" s="250"/>
      <c r="L61" s="91"/>
      <c r="M61" s="251"/>
    </row>
    <row r="62" spans="1:13" s="4" customFormat="1" x14ac:dyDescent="0.2">
      <c r="A62" s="47">
        <v>51</v>
      </c>
      <c r="B62" s="59" t="s">
        <v>101</v>
      </c>
      <c r="C62" s="41" t="s">
        <v>102</v>
      </c>
      <c r="D62" s="290">
        <f>'68.02.05.02 SF.NICOLAE'!D62+'CENTR. DE RECUP.MED.'!D62</f>
        <v>0</v>
      </c>
      <c r="E62" s="290">
        <f>'68.02.05.02 SF.NICOLAE'!E62+'CENTR. DE RECUP.MED.'!E62</f>
        <v>0</v>
      </c>
      <c r="F62" s="290">
        <f>'68.02.05.02 SF.NICOLAE'!F62+'CENTR. DE RECUP.MED.'!F62</f>
        <v>1</v>
      </c>
      <c r="G62" s="290">
        <f>'68.02.05.02 SF.NICOLAE'!G62+'CENTR. DE RECUP.MED.'!G62</f>
        <v>0</v>
      </c>
      <c r="H62" s="290">
        <f>'68.02.05.02 SF.NICOLAE'!H62+'CENTR. DE RECUP.MED.'!H62</f>
        <v>1</v>
      </c>
      <c r="I62" s="290">
        <f>'68.02.05.02 SF.NICOLAE'!I62+'CENTR. DE RECUP.MED.'!I62</f>
        <v>0</v>
      </c>
      <c r="J62" s="290">
        <f>'68.02.05.02 SF.NICOLAE'!J62+'CENTR. DE RECUP.MED.'!J62</f>
        <v>0</v>
      </c>
      <c r="K62" s="250"/>
      <c r="L62" s="91"/>
      <c r="M62" s="251"/>
    </row>
    <row r="63" spans="1:13" s="4" customFormat="1" x14ac:dyDescent="0.2">
      <c r="A63" s="47">
        <v>52</v>
      </c>
      <c r="B63" s="59" t="s">
        <v>234</v>
      </c>
      <c r="C63" s="41" t="s">
        <v>102</v>
      </c>
      <c r="D63" s="290">
        <f>'68.02.05.02 SF.NICOLAE'!D63+'CENTR. DE RECUP.MED.'!D63</f>
        <v>0</v>
      </c>
      <c r="E63" s="290">
        <f>'68.02.05.02 SF.NICOLAE'!E63+'CENTR. DE RECUP.MED.'!E63</f>
        <v>0</v>
      </c>
      <c r="F63" s="290">
        <f>'68.02.05.02 SF.NICOLAE'!F63+'CENTR. DE RECUP.MED.'!F63</f>
        <v>0</v>
      </c>
      <c r="G63" s="290">
        <f>'68.02.05.02 SF.NICOLAE'!G63+'CENTR. DE RECUP.MED.'!G63</f>
        <v>0</v>
      </c>
      <c r="H63" s="290">
        <f>'68.02.05.02 SF.NICOLAE'!H63+'CENTR. DE RECUP.MED.'!H63</f>
        <v>0</v>
      </c>
      <c r="I63" s="290">
        <f>'68.02.05.02 SF.NICOLAE'!I63+'CENTR. DE RECUP.MED.'!I63</f>
        <v>0</v>
      </c>
      <c r="J63" s="290">
        <f>'68.02.05.02 SF.NICOLAE'!J63+'CENTR. DE RECUP.MED.'!J63</f>
        <v>0</v>
      </c>
      <c r="K63" s="250"/>
      <c r="L63" s="91"/>
      <c r="M63" s="251"/>
    </row>
    <row r="64" spans="1:13" s="4" customFormat="1" x14ac:dyDescent="0.2">
      <c r="A64" s="47">
        <v>53</v>
      </c>
      <c r="B64" s="76" t="s">
        <v>104</v>
      </c>
      <c r="C64" s="56" t="s">
        <v>105</v>
      </c>
      <c r="D64" s="293">
        <f>'68.02.05.02 SF.NICOLAE'!D64+'CENTR. DE RECUP.MED.'!D64</f>
        <v>0</v>
      </c>
      <c r="E64" s="293">
        <f>'68.02.05.02 SF.NICOLAE'!E64+'CENTR. DE RECUP.MED.'!E64</f>
        <v>0</v>
      </c>
      <c r="F64" s="293">
        <f>'68.02.05.02 SF.NICOLAE'!F64+'CENTR. DE RECUP.MED.'!F64</f>
        <v>0</v>
      </c>
      <c r="G64" s="293">
        <f>'68.02.05.02 SF.NICOLAE'!G64+'CENTR. DE RECUP.MED.'!G64</f>
        <v>0</v>
      </c>
      <c r="H64" s="293">
        <f>'68.02.05.02 SF.NICOLAE'!H64+'CENTR. DE RECUP.MED.'!H64</f>
        <v>0</v>
      </c>
      <c r="I64" s="293">
        <f>'68.02.05.02 SF.NICOLAE'!I64+'CENTR. DE RECUP.MED.'!I64</f>
        <v>0</v>
      </c>
      <c r="J64" s="293">
        <f>'68.02.05.02 SF.NICOLAE'!J64+'CENTR. DE RECUP.MED.'!J64</f>
        <v>0</v>
      </c>
      <c r="K64" s="104"/>
      <c r="L64" s="103"/>
      <c r="M64" s="105"/>
    </row>
    <row r="65" spans="1:13" s="4" customFormat="1" x14ac:dyDescent="0.2">
      <c r="A65" s="47">
        <v>54</v>
      </c>
      <c r="B65" s="59" t="s">
        <v>106</v>
      </c>
      <c r="C65" s="41" t="s">
        <v>107</v>
      </c>
      <c r="D65" s="290">
        <f>'68.02.05.02 SF.NICOLAE'!D65+'CENTR. DE RECUP.MED.'!D65</f>
        <v>0</v>
      </c>
      <c r="E65" s="290">
        <f>'68.02.05.02 SF.NICOLAE'!E65+'CENTR. DE RECUP.MED.'!E65</f>
        <v>0</v>
      </c>
      <c r="F65" s="290">
        <f>'68.02.05.02 SF.NICOLAE'!F65+'CENTR. DE RECUP.MED.'!F65</f>
        <v>0</v>
      </c>
      <c r="G65" s="290">
        <f>'68.02.05.02 SF.NICOLAE'!G65+'CENTR. DE RECUP.MED.'!G65</f>
        <v>0</v>
      </c>
      <c r="H65" s="290">
        <f>'68.02.05.02 SF.NICOLAE'!H65+'CENTR. DE RECUP.MED.'!H65</f>
        <v>0</v>
      </c>
      <c r="I65" s="290">
        <f>'68.02.05.02 SF.NICOLAE'!I65+'CENTR. DE RECUP.MED.'!I65</f>
        <v>0</v>
      </c>
      <c r="J65" s="290">
        <f>'68.02.05.02 SF.NICOLAE'!J65+'CENTR. DE RECUP.MED.'!J65</f>
        <v>0</v>
      </c>
      <c r="K65" s="104"/>
      <c r="L65" s="103"/>
      <c r="M65" s="105"/>
    </row>
    <row r="66" spans="1:13" s="4" customFormat="1" x14ac:dyDescent="0.2">
      <c r="A66" s="47">
        <v>55</v>
      </c>
      <c r="B66" s="59" t="s">
        <v>108</v>
      </c>
      <c r="C66" s="41" t="s">
        <v>109</v>
      </c>
      <c r="D66" s="290">
        <f>'68.02.05.02 SF.NICOLAE'!D66+'CENTR. DE RECUP.MED.'!D66</f>
        <v>0</v>
      </c>
      <c r="E66" s="290">
        <f>'68.02.05.02 SF.NICOLAE'!E66+'CENTR. DE RECUP.MED.'!E66</f>
        <v>0</v>
      </c>
      <c r="F66" s="290">
        <f>'68.02.05.02 SF.NICOLAE'!F66+'CENTR. DE RECUP.MED.'!F66</f>
        <v>0</v>
      </c>
      <c r="G66" s="290">
        <f>'68.02.05.02 SF.NICOLAE'!G66+'CENTR. DE RECUP.MED.'!G66</f>
        <v>0</v>
      </c>
      <c r="H66" s="290">
        <f>'68.02.05.02 SF.NICOLAE'!H66+'CENTR. DE RECUP.MED.'!H66</f>
        <v>0</v>
      </c>
      <c r="I66" s="290">
        <f>'68.02.05.02 SF.NICOLAE'!I66+'CENTR. DE RECUP.MED.'!I66</f>
        <v>0</v>
      </c>
      <c r="J66" s="290">
        <f>'68.02.05.02 SF.NICOLAE'!J66+'CENTR. DE RECUP.MED.'!J66</f>
        <v>0</v>
      </c>
      <c r="K66" s="250"/>
      <c r="L66" s="91"/>
      <c r="M66" s="251"/>
    </row>
    <row r="67" spans="1:13" s="4" customFormat="1" x14ac:dyDescent="0.2">
      <c r="A67" s="47">
        <v>56</v>
      </c>
      <c r="B67" s="59" t="s">
        <v>110</v>
      </c>
      <c r="C67" s="41" t="s">
        <v>111</v>
      </c>
      <c r="D67" s="290">
        <f>'68.02.05.02 SF.NICOLAE'!D67+'CENTR. DE RECUP.MED.'!D67</f>
        <v>0</v>
      </c>
      <c r="E67" s="290">
        <f>'68.02.05.02 SF.NICOLAE'!E67+'CENTR. DE RECUP.MED.'!E67</f>
        <v>0</v>
      </c>
      <c r="F67" s="290">
        <f>'68.02.05.02 SF.NICOLAE'!F67+'CENTR. DE RECUP.MED.'!F67</f>
        <v>0</v>
      </c>
      <c r="G67" s="290">
        <f>'68.02.05.02 SF.NICOLAE'!G67+'CENTR. DE RECUP.MED.'!G67</f>
        <v>0</v>
      </c>
      <c r="H67" s="290">
        <f>'68.02.05.02 SF.NICOLAE'!H67+'CENTR. DE RECUP.MED.'!H67</f>
        <v>0</v>
      </c>
      <c r="I67" s="290">
        <f>'68.02.05.02 SF.NICOLAE'!I67+'CENTR. DE RECUP.MED.'!I67</f>
        <v>0</v>
      </c>
      <c r="J67" s="290">
        <f>'68.02.05.02 SF.NICOLAE'!J67+'CENTR. DE RECUP.MED.'!J67</f>
        <v>0</v>
      </c>
      <c r="K67" s="250"/>
      <c r="L67" s="91"/>
      <c r="M67" s="251"/>
    </row>
    <row r="68" spans="1:13" s="4" customFormat="1" x14ac:dyDescent="0.2">
      <c r="A68" s="47">
        <v>57</v>
      </c>
      <c r="B68" s="59" t="s">
        <v>235</v>
      </c>
      <c r="C68" s="41" t="s">
        <v>111</v>
      </c>
      <c r="D68" s="290">
        <f>'68.02.05.02 SF.NICOLAE'!D68+'CENTR. DE RECUP.MED.'!D68</f>
        <v>0</v>
      </c>
      <c r="E68" s="290">
        <f>'68.02.05.02 SF.NICOLAE'!E68+'CENTR. DE RECUP.MED.'!E68</f>
        <v>0</v>
      </c>
      <c r="F68" s="290">
        <f>'68.02.05.02 SF.NICOLAE'!F68+'CENTR. DE RECUP.MED.'!F68</f>
        <v>0</v>
      </c>
      <c r="G68" s="290">
        <f>'68.02.05.02 SF.NICOLAE'!G68+'CENTR. DE RECUP.MED.'!G68</f>
        <v>0</v>
      </c>
      <c r="H68" s="290">
        <f>'68.02.05.02 SF.NICOLAE'!H68+'CENTR. DE RECUP.MED.'!H68</f>
        <v>0</v>
      </c>
      <c r="I68" s="290">
        <f>'68.02.05.02 SF.NICOLAE'!I68+'CENTR. DE RECUP.MED.'!I68</f>
        <v>0</v>
      </c>
      <c r="J68" s="290">
        <f>'68.02.05.02 SF.NICOLAE'!J68+'CENTR. DE RECUP.MED.'!J68</f>
        <v>0</v>
      </c>
      <c r="K68" s="250"/>
      <c r="L68" s="91"/>
      <c r="M68" s="251"/>
    </row>
    <row r="69" spans="1:13" s="4" customFormat="1" x14ac:dyDescent="0.2">
      <c r="A69" s="47">
        <v>58</v>
      </c>
      <c r="B69" s="77" t="s">
        <v>113</v>
      </c>
      <c r="C69" s="56" t="s">
        <v>114</v>
      </c>
      <c r="D69" s="290">
        <f>'68.02.05.02 SF.NICOLAE'!D69+'CENTR. DE RECUP.MED.'!D69</f>
        <v>0</v>
      </c>
      <c r="E69" s="290">
        <f>'68.02.05.02 SF.NICOLAE'!E69+'CENTR. DE RECUP.MED.'!E69</f>
        <v>0</v>
      </c>
      <c r="F69" s="290">
        <f>'68.02.05.02 SF.NICOLAE'!F69+'CENTR. DE RECUP.MED.'!F69</f>
        <v>0</v>
      </c>
      <c r="G69" s="290">
        <f>'68.02.05.02 SF.NICOLAE'!G69+'CENTR. DE RECUP.MED.'!G69</f>
        <v>0</v>
      </c>
      <c r="H69" s="290">
        <f>'68.02.05.02 SF.NICOLAE'!H69+'CENTR. DE RECUP.MED.'!H69</f>
        <v>0</v>
      </c>
      <c r="I69" s="290">
        <f>'68.02.05.02 SF.NICOLAE'!I69+'CENTR. DE RECUP.MED.'!I69</f>
        <v>0</v>
      </c>
      <c r="J69" s="290">
        <f>'68.02.05.02 SF.NICOLAE'!J69+'CENTR. DE RECUP.MED.'!J69</f>
        <v>0</v>
      </c>
      <c r="K69" s="104"/>
      <c r="L69" s="103"/>
      <c r="M69" s="105"/>
    </row>
    <row r="70" spans="1:13" s="4" customFormat="1" x14ac:dyDescent="0.2">
      <c r="A70" s="47">
        <v>59</v>
      </c>
      <c r="B70" s="59" t="s">
        <v>115</v>
      </c>
      <c r="C70" s="41" t="s">
        <v>116</v>
      </c>
      <c r="D70" s="290">
        <f>'68.02.05.02 SF.NICOLAE'!D70+'CENTR. DE RECUP.MED.'!D70</f>
        <v>0</v>
      </c>
      <c r="E70" s="290">
        <f>'68.02.05.02 SF.NICOLAE'!E70+'CENTR. DE RECUP.MED.'!E70</f>
        <v>0</v>
      </c>
      <c r="F70" s="290">
        <f>'68.02.05.02 SF.NICOLAE'!F70+'CENTR. DE RECUP.MED.'!F70</f>
        <v>0</v>
      </c>
      <c r="G70" s="290">
        <f>'68.02.05.02 SF.NICOLAE'!G70+'CENTR. DE RECUP.MED.'!G70</f>
        <v>0</v>
      </c>
      <c r="H70" s="290">
        <f>'68.02.05.02 SF.NICOLAE'!H70+'CENTR. DE RECUP.MED.'!H70</f>
        <v>0</v>
      </c>
      <c r="I70" s="290">
        <f>'68.02.05.02 SF.NICOLAE'!I70+'CENTR. DE RECUP.MED.'!I70</f>
        <v>0</v>
      </c>
      <c r="J70" s="290">
        <f>'68.02.05.02 SF.NICOLAE'!J70+'CENTR. DE RECUP.MED.'!J70</f>
        <v>0</v>
      </c>
      <c r="K70" s="250"/>
      <c r="L70" s="91"/>
      <c r="M70" s="251"/>
    </row>
    <row r="71" spans="1:13" s="4" customFormat="1" x14ac:dyDescent="0.2">
      <c r="A71" s="47">
        <v>60</v>
      </c>
      <c r="B71" s="59" t="s">
        <v>117</v>
      </c>
      <c r="C71" s="41" t="s">
        <v>118</v>
      </c>
      <c r="D71" s="290">
        <f>'68.02.05.02 SF.NICOLAE'!D71+'CENTR. DE RECUP.MED.'!D71</f>
        <v>0</v>
      </c>
      <c r="E71" s="290">
        <f>'68.02.05.02 SF.NICOLAE'!E71+'CENTR. DE RECUP.MED.'!E71</f>
        <v>0</v>
      </c>
      <c r="F71" s="290">
        <f>'68.02.05.02 SF.NICOLAE'!F71+'CENTR. DE RECUP.MED.'!F71</f>
        <v>0</v>
      </c>
      <c r="G71" s="290">
        <f>'68.02.05.02 SF.NICOLAE'!G71+'CENTR. DE RECUP.MED.'!G71</f>
        <v>0</v>
      </c>
      <c r="H71" s="290">
        <f>'68.02.05.02 SF.NICOLAE'!H71+'CENTR. DE RECUP.MED.'!H71</f>
        <v>0</v>
      </c>
      <c r="I71" s="290">
        <f>'68.02.05.02 SF.NICOLAE'!I71+'CENTR. DE RECUP.MED.'!I71</f>
        <v>0</v>
      </c>
      <c r="J71" s="290">
        <f>'68.02.05.02 SF.NICOLAE'!J71+'CENTR. DE RECUP.MED.'!J71</f>
        <v>0</v>
      </c>
      <c r="K71" s="250"/>
      <c r="L71" s="91"/>
      <c r="M71" s="251"/>
    </row>
    <row r="72" spans="1:13" s="4" customFormat="1" x14ac:dyDescent="0.2">
      <c r="A72" s="47">
        <v>61</v>
      </c>
      <c r="B72" s="55" t="s">
        <v>119</v>
      </c>
      <c r="C72" s="56" t="s">
        <v>120</v>
      </c>
      <c r="D72" s="290">
        <f>'68.02.05.02 SF.NICOLAE'!D72+'CENTR. DE RECUP.MED.'!D72</f>
        <v>0</v>
      </c>
      <c r="E72" s="290">
        <f>'68.02.05.02 SF.NICOLAE'!E72+'CENTR. DE RECUP.MED.'!E72</f>
        <v>0</v>
      </c>
      <c r="F72" s="290">
        <f>'68.02.05.02 SF.NICOLAE'!F72+'CENTR. DE RECUP.MED.'!F72</f>
        <v>0</v>
      </c>
      <c r="G72" s="290">
        <f>'68.02.05.02 SF.NICOLAE'!G72+'CENTR. DE RECUP.MED.'!G72</f>
        <v>0</v>
      </c>
      <c r="H72" s="290">
        <f>'68.02.05.02 SF.NICOLAE'!H72+'CENTR. DE RECUP.MED.'!H72</f>
        <v>0</v>
      </c>
      <c r="I72" s="290">
        <f>'68.02.05.02 SF.NICOLAE'!I72+'CENTR. DE RECUP.MED.'!I72</f>
        <v>0</v>
      </c>
      <c r="J72" s="290">
        <f>'68.02.05.02 SF.NICOLAE'!J72+'CENTR. DE RECUP.MED.'!J72</f>
        <v>0</v>
      </c>
      <c r="K72" s="104"/>
      <c r="L72" s="103"/>
      <c r="M72" s="105"/>
    </row>
    <row r="73" spans="1:13" s="4" customFormat="1" x14ac:dyDescent="0.2">
      <c r="A73" s="47">
        <v>62</v>
      </c>
      <c r="B73" s="55" t="s">
        <v>121</v>
      </c>
      <c r="C73" s="56" t="s">
        <v>122</v>
      </c>
      <c r="D73" s="290">
        <f>'68.02.05.02 SF.NICOLAE'!D73+'CENTR. DE RECUP.MED.'!D73</f>
        <v>0</v>
      </c>
      <c r="E73" s="290">
        <f>'68.02.05.02 SF.NICOLAE'!E73+'CENTR. DE RECUP.MED.'!E73</f>
        <v>0</v>
      </c>
      <c r="F73" s="290">
        <f>'68.02.05.02 SF.NICOLAE'!F73+'CENTR. DE RECUP.MED.'!F73</f>
        <v>0</v>
      </c>
      <c r="G73" s="290">
        <f>'68.02.05.02 SF.NICOLAE'!G73+'CENTR. DE RECUP.MED.'!G73</f>
        <v>0</v>
      </c>
      <c r="H73" s="290">
        <f>'68.02.05.02 SF.NICOLAE'!H73+'CENTR. DE RECUP.MED.'!H73</f>
        <v>0</v>
      </c>
      <c r="I73" s="290">
        <f>'68.02.05.02 SF.NICOLAE'!I73+'CENTR. DE RECUP.MED.'!I73</f>
        <v>0</v>
      </c>
      <c r="J73" s="290">
        <f>'68.02.05.02 SF.NICOLAE'!J73+'CENTR. DE RECUP.MED.'!J73</f>
        <v>0</v>
      </c>
      <c r="K73" s="104"/>
      <c r="L73" s="103"/>
      <c r="M73" s="105"/>
    </row>
    <row r="74" spans="1:13" s="4" customFormat="1" x14ac:dyDescent="0.2">
      <c r="A74" s="47">
        <v>63</v>
      </c>
      <c r="B74" s="55" t="s">
        <v>123</v>
      </c>
      <c r="C74" s="56" t="s">
        <v>124</v>
      </c>
      <c r="D74" s="290">
        <f>'68.02.05.02 SF.NICOLAE'!D74+'CENTR. DE RECUP.MED.'!D74</f>
        <v>0</v>
      </c>
      <c r="E74" s="290">
        <f>'68.02.05.02 SF.NICOLAE'!E74+'CENTR. DE RECUP.MED.'!E74</f>
        <v>0</v>
      </c>
      <c r="F74" s="290">
        <f>'68.02.05.02 SF.NICOLAE'!F74+'CENTR. DE RECUP.MED.'!F74</f>
        <v>0</v>
      </c>
      <c r="G74" s="290">
        <f>'68.02.05.02 SF.NICOLAE'!G74+'CENTR. DE RECUP.MED.'!G74</f>
        <v>0</v>
      </c>
      <c r="H74" s="290">
        <f>'68.02.05.02 SF.NICOLAE'!H74+'CENTR. DE RECUP.MED.'!H74</f>
        <v>0</v>
      </c>
      <c r="I74" s="290">
        <f>'68.02.05.02 SF.NICOLAE'!I74+'CENTR. DE RECUP.MED.'!I74</f>
        <v>0</v>
      </c>
      <c r="J74" s="290">
        <f>'68.02.05.02 SF.NICOLAE'!J74+'CENTR. DE RECUP.MED.'!J74</f>
        <v>0</v>
      </c>
      <c r="K74" s="104"/>
      <c r="L74" s="103"/>
      <c r="M74" s="105"/>
    </row>
    <row r="75" spans="1:13" s="4" customFormat="1" x14ac:dyDescent="0.2">
      <c r="A75" s="47">
        <v>64</v>
      </c>
      <c r="B75" s="55" t="s">
        <v>125</v>
      </c>
      <c r="C75" s="56" t="s">
        <v>126</v>
      </c>
      <c r="D75" s="290">
        <f>'68.02.05.02 SF.NICOLAE'!D75+'CENTR. DE RECUP.MED.'!D75</f>
        <v>0</v>
      </c>
      <c r="E75" s="290">
        <f>'68.02.05.02 SF.NICOLAE'!E75+'CENTR. DE RECUP.MED.'!E75</f>
        <v>0</v>
      </c>
      <c r="F75" s="290">
        <f>'68.02.05.02 SF.NICOLAE'!F75+'CENTR. DE RECUP.MED.'!F75</f>
        <v>0</v>
      </c>
      <c r="G75" s="290">
        <f>'68.02.05.02 SF.NICOLAE'!G75+'CENTR. DE RECUP.MED.'!G75</f>
        <v>0</v>
      </c>
      <c r="H75" s="290">
        <f>'68.02.05.02 SF.NICOLAE'!H75+'CENTR. DE RECUP.MED.'!H75</f>
        <v>0</v>
      </c>
      <c r="I75" s="290">
        <f>'68.02.05.02 SF.NICOLAE'!I75+'CENTR. DE RECUP.MED.'!I75</f>
        <v>0</v>
      </c>
      <c r="J75" s="290">
        <f>'68.02.05.02 SF.NICOLAE'!J75+'CENTR. DE RECUP.MED.'!J75</f>
        <v>0</v>
      </c>
      <c r="K75" s="104"/>
      <c r="L75" s="103"/>
      <c r="M75" s="105"/>
    </row>
    <row r="76" spans="1:13" s="4" customFormat="1" x14ac:dyDescent="0.2">
      <c r="A76" s="47">
        <v>65</v>
      </c>
      <c r="B76" s="55" t="s">
        <v>127</v>
      </c>
      <c r="C76" s="56" t="s">
        <v>128</v>
      </c>
      <c r="D76" s="290">
        <f>'68.02.05.02 SF.NICOLAE'!D76+'CENTR. DE RECUP.MED.'!D76</f>
        <v>0</v>
      </c>
      <c r="E76" s="290">
        <f>'68.02.05.02 SF.NICOLAE'!E76+'CENTR. DE RECUP.MED.'!E76</f>
        <v>0</v>
      </c>
      <c r="F76" s="290">
        <f>'68.02.05.02 SF.NICOLAE'!F76+'CENTR. DE RECUP.MED.'!F76</f>
        <v>3</v>
      </c>
      <c r="G76" s="290">
        <f>'68.02.05.02 SF.NICOLAE'!G76+'CENTR. DE RECUP.MED.'!G76</f>
        <v>2</v>
      </c>
      <c r="H76" s="290">
        <f>'68.02.05.02 SF.NICOLAE'!H76+'CENTR. DE RECUP.MED.'!H76</f>
        <v>1</v>
      </c>
      <c r="I76" s="290">
        <f>'68.02.05.02 SF.NICOLAE'!I76+'CENTR. DE RECUP.MED.'!I76</f>
        <v>0</v>
      </c>
      <c r="J76" s="290">
        <f>'68.02.05.02 SF.NICOLAE'!J76+'CENTR. DE RECUP.MED.'!J76</f>
        <v>0</v>
      </c>
      <c r="K76" s="296"/>
      <c r="L76" s="103"/>
      <c r="M76" s="105"/>
    </row>
    <row r="77" spans="1:13" s="4" customFormat="1" x14ac:dyDescent="0.2">
      <c r="A77" s="47">
        <v>66</v>
      </c>
      <c r="B77" s="59" t="s">
        <v>129</v>
      </c>
      <c r="C77" s="41" t="s">
        <v>130</v>
      </c>
      <c r="D77" s="290">
        <f>'68.02.05.02 SF.NICOLAE'!D77+'CENTR. DE RECUP.MED.'!D77</f>
        <v>0</v>
      </c>
      <c r="E77" s="290">
        <f>'68.02.05.02 SF.NICOLAE'!E77+'CENTR. DE RECUP.MED.'!E77</f>
        <v>0</v>
      </c>
      <c r="F77" s="290">
        <f>'68.02.05.02 SF.NICOLAE'!F77+'CENTR. DE RECUP.MED.'!F77</f>
        <v>0</v>
      </c>
      <c r="G77" s="290">
        <f>'68.02.05.02 SF.NICOLAE'!G77+'CENTR. DE RECUP.MED.'!G77</f>
        <v>0</v>
      </c>
      <c r="H77" s="290">
        <f>'68.02.05.02 SF.NICOLAE'!H77+'CENTR. DE RECUP.MED.'!H77</f>
        <v>0</v>
      </c>
      <c r="I77" s="290">
        <f>'68.02.05.02 SF.NICOLAE'!I77+'CENTR. DE RECUP.MED.'!I77</f>
        <v>0</v>
      </c>
      <c r="J77" s="290">
        <f>'68.02.05.02 SF.NICOLAE'!J77+'CENTR. DE RECUP.MED.'!J77</f>
        <v>0</v>
      </c>
      <c r="K77" s="296"/>
      <c r="L77" s="103"/>
      <c r="M77" s="105"/>
    </row>
    <row r="78" spans="1:13" s="4" customFormat="1" x14ac:dyDescent="0.2">
      <c r="A78" s="47">
        <v>67</v>
      </c>
      <c r="B78" s="59" t="s">
        <v>131</v>
      </c>
      <c r="C78" s="56" t="s">
        <v>132</v>
      </c>
      <c r="D78" s="293">
        <f>'68.02.05.02 SF.NICOLAE'!D78+'CENTR. DE RECUP.MED.'!D78</f>
        <v>0</v>
      </c>
      <c r="E78" s="293">
        <f>'68.02.05.02 SF.NICOLAE'!E78+'CENTR. DE RECUP.MED.'!E78</f>
        <v>0</v>
      </c>
      <c r="F78" s="293">
        <f>'68.02.05.02 SF.NICOLAE'!F78+'CENTR. DE RECUP.MED.'!F78</f>
        <v>3</v>
      </c>
      <c r="G78" s="293">
        <f>'68.02.05.02 SF.NICOLAE'!G78+'CENTR. DE RECUP.MED.'!G78</f>
        <v>2</v>
      </c>
      <c r="H78" s="293">
        <f>'68.02.05.02 SF.NICOLAE'!H78+'CENTR. DE RECUP.MED.'!H78</f>
        <v>1</v>
      </c>
      <c r="I78" s="293">
        <f>'68.02.05.02 SF.NICOLAE'!I78+'CENTR. DE RECUP.MED.'!I78</f>
        <v>0</v>
      </c>
      <c r="J78" s="222">
        <f>'68.02.05.02 SF.NICOLAE'!J78+'CENTR. DE RECUP.MED.'!J78</f>
        <v>0</v>
      </c>
      <c r="K78" s="297"/>
      <c r="L78" s="91"/>
      <c r="M78" s="251"/>
    </row>
    <row r="79" spans="1:13" s="4" customFormat="1" hidden="1" x14ac:dyDescent="0.2">
      <c r="A79" s="47">
        <v>68</v>
      </c>
      <c r="B79" s="59" t="s">
        <v>133</v>
      </c>
      <c r="C79" s="41"/>
      <c r="D79" s="290">
        <f>'68.02.05.02 SF.NICOLAE'!D79+'CENTR. DE RECUP.MED.'!D79</f>
        <v>0</v>
      </c>
      <c r="E79" s="293">
        <f>'68.02.05.02 SF.NICOLAE'!E79+'CENTR. DE RECUP.MED.'!E79</f>
        <v>0</v>
      </c>
      <c r="F79" s="290">
        <f>'68.02.05.02 SF.NICOLAE'!F79+'CENTR. DE RECUP.MED.'!F79</f>
        <v>3</v>
      </c>
      <c r="G79" s="290">
        <f>'68.02.05.02 SF.NICOLAE'!G79+'CENTR. DE RECUP.MED.'!G79</f>
        <v>2</v>
      </c>
      <c r="H79" s="290">
        <f>'68.02.05.02 SF.NICOLAE'!H79+'CENTR. DE RECUP.MED.'!H79</f>
        <v>1</v>
      </c>
      <c r="I79" s="290">
        <f>'68.02.05.02 SF.NICOLAE'!I79+'CENTR. DE RECUP.MED.'!I79</f>
        <v>0</v>
      </c>
      <c r="J79" s="298">
        <f>'68.02.05.02 SF.NICOLAE'!J79+'CENTR. DE RECUP.MED.'!J79</f>
        <v>0</v>
      </c>
      <c r="K79" s="297"/>
      <c r="L79" s="91"/>
      <c r="M79" s="251"/>
    </row>
    <row r="80" spans="1:13" s="4" customFormat="1" x14ac:dyDescent="0.2">
      <c r="A80" s="47">
        <v>69</v>
      </c>
      <c r="B80" s="106" t="s">
        <v>254</v>
      </c>
      <c r="C80" s="81"/>
      <c r="D80" s="299">
        <f>'68.02.05.02 SF.NICOLAE'!D80+'CENTR. DE RECUP.MED.'!D80</f>
        <v>0</v>
      </c>
      <c r="E80" s="293">
        <f>'68.02.05.02 SF.NICOLAE'!E80+'CENTR. DE RECUP.MED.'!E80</f>
        <v>0</v>
      </c>
      <c r="F80" s="299">
        <f>'68.02.05.02 SF.NICOLAE'!F80+'CENTR. DE RECUP.MED.'!F80</f>
        <v>0</v>
      </c>
      <c r="G80" s="299">
        <f>'68.02.05.02 SF.NICOLAE'!G80+'CENTR. DE RECUP.MED.'!G80</f>
        <v>0</v>
      </c>
      <c r="H80" s="299">
        <f>'68.02.05.02 SF.NICOLAE'!H80+'CENTR. DE RECUP.MED.'!H80</f>
        <v>0</v>
      </c>
      <c r="I80" s="299">
        <f>'68.02.05.02 SF.NICOLAE'!I80+'CENTR. DE RECUP.MED.'!I80</f>
        <v>0</v>
      </c>
      <c r="J80" s="300">
        <f>'68.02.05.02 SF.NICOLAE'!J80+'CENTR. DE RECUP.MED.'!J80</f>
        <v>0</v>
      </c>
      <c r="K80" s="301"/>
      <c r="L80" s="266"/>
      <c r="M80" s="267"/>
    </row>
    <row r="81" spans="1:13" s="4" customFormat="1" hidden="1" x14ac:dyDescent="0.2">
      <c r="A81" s="47">
        <v>70</v>
      </c>
      <c r="B81" s="302" t="s">
        <v>238</v>
      </c>
      <c r="C81" s="86"/>
      <c r="D81" s="87"/>
      <c r="E81" s="293">
        <f>'68.02.05.02 SF.NICOLAE'!E81+'CENTR. DE RECUP.MED.'!E81</f>
        <v>0</v>
      </c>
      <c r="F81" s="88"/>
      <c r="G81" s="88"/>
      <c r="H81" s="88"/>
      <c r="I81" s="88"/>
      <c r="J81" s="88"/>
      <c r="K81" s="89"/>
      <c r="L81" s="88"/>
      <c r="M81" s="269"/>
    </row>
    <row r="82" spans="1:13" s="4" customFormat="1" hidden="1" x14ac:dyDescent="0.2">
      <c r="A82" s="47">
        <v>71</v>
      </c>
      <c r="B82" s="59" t="s">
        <v>134</v>
      </c>
      <c r="C82" s="41"/>
      <c r="D82" s="117"/>
      <c r="E82" s="293">
        <f>'68.02.05.02 SF.NICOLAE'!E82+'CENTR. DE RECUP.MED.'!E82</f>
        <v>0</v>
      </c>
      <c r="F82" s="91"/>
      <c r="G82" s="91"/>
      <c r="H82" s="91"/>
      <c r="I82" s="91"/>
      <c r="J82" s="91"/>
      <c r="K82" s="250"/>
      <c r="L82" s="91"/>
      <c r="M82" s="251"/>
    </row>
    <row r="83" spans="1:13" s="4" customFormat="1" hidden="1" x14ac:dyDescent="0.2">
      <c r="A83" s="47">
        <v>72</v>
      </c>
      <c r="B83" s="59" t="s">
        <v>135</v>
      </c>
      <c r="C83" s="41"/>
      <c r="D83" s="117"/>
      <c r="E83" s="293">
        <f>'68.02.05.02 SF.NICOLAE'!E83+'CENTR. DE RECUP.MED.'!E83</f>
        <v>0</v>
      </c>
      <c r="F83" s="91"/>
      <c r="G83" s="91"/>
      <c r="H83" s="91"/>
      <c r="I83" s="91"/>
      <c r="J83" s="91"/>
      <c r="K83" s="250"/>
      <c r="L83" s="91"/>
      <c r="M83" s="251"/>
    </row>
    <row r="84" spans="1:13" s="4" customFormat="1" hidden="1" x14ac:dyDescent="0.2">
      <c r="A84" s="47">
        <v>73</v>
      </c>
      <c r="B84" s="90" t="s">
        <v>239</v>
      </c>
      <c r="C84" s="41"/>
      <c r="D84" s="117"/>
      <c r="E84" s="293">
        <f>'68.02.05.02 SF.NICOLAE'!E84+'CENTR. DE RECUP.MED.'!E84</f>
        <v>0</v>
      </c>
      <c r="F84" s="91"/>
      <c r="G84" s="91"/>
      <c r="H84" s="91"/>
      <c r="I84" s="91"/>
      <c r="J84" s="91"/>
      <c r="K84" s="250"/>
      <c r="L84" s="91"/>
      <c r="M84" s="251"/>
    </row>
    <row r="85" spans="1:13" s="4" customFormat="1" hidden="1" x14ac:dyDescent="0.2">
      <c r="A85" s="47">
        <v>74</v>
      </c>
      <c r="B85" s="90" t="s">
        <v>136</v>
      </c>
      <c r="C85" s="41"/>
      <c r="D85" s="117"/>
      <c r="E85" s="293">
        <f>'68.02.05.02 SF.NICOLAE'!E85+'CENTR. DE RECUP.MED.'!E85</f>
        <v>0</v>
      </c>
      <c r="F85" s="91"/>
      <c r="G85" s="91"/>
      <c r="H85" s="91"/>
      <c r="I85" s="91"/>
      <c r="J85" s="91"/>
      <c r="K85" s="250"/>
      <c r="L85" s="91"/>
      <c r="M85" s="251"/>
    </row>
    <row r="86" spans="1:13" s="4" customFormat="1" hidden="1" x14ac:dyDescent="0.2">
      <c r="A86" s="47">
        <v>75</v>
      </c>
      <c r="B86" s="90" t="s">
        <v>137</v>
      </c>
      <c r="C86" s="41"/>
      <c r="D86" s="117"/>
      <c r="E86" s="293">
        <f>'68.02.05.02 SF.NICOLAE'!E86+'CENTR. DE RECUP.MED.'!E86</f>
        <v>0</v>
      </c>
      <c r="F86" s="91"/>
      <c r="G86" s="91"/>
      <c r="H86" s="91"/>
      <c r="I86" s="91"/>
      <c r="J86" s="91"/>
      <c r="K86" s="250"/>
      <c r="L86" s="91"/>
      <c r="M86" s="251"/>
    </row>
    <row r="87" spans="1:13" s="4" customFormat="1" hidden="1" x14ac:dyDescent="0.2">
      <c r="A87" s="47">
        <v>76</v>
      </c>
      <c r="B87" s="90" t="s">
        <v>138</v>
      </c>
      <c r="C87" s="41"/>
      <c r="D87" s="117"/>
      <c r="E87" s="293">
        <f>'68.02.05.02 SF.NICOLAE'!E87+'CENTR. DE RECUP.MED.'!E87</f>
        <v>0</v>
      </c>
      <c r="F87" s="91"/>
      <c r="G87" s="91"/>
      <c r="H87" s="91"/>
      <c r="I87" s="91"/>
      <c r="J87" s="91"/>
      <c r="K87" s="250"/>
      <c r="L87" s="91"/>
      <c r="M87" s="251"/>
    </row>
    <row r="88" spans="1:13" s="4" customFormat="1" ht="13.35" hidden="1" customHeight="1" x14ac:dyDescent="0.2">
      <c r="A88" s="47">
        <v>77</v>
      </c>
      <c r="B88" s="100" t="s">
        <v>140</v>
      </c>
      <c r="C88" s="56" t="s">
        <v>141</v>
      </c>
      <c r="D88" s="114"/>
      <c r="E88" s="293">
        <f>'68.02.05.02 SF.NICOLAE'!E88+'CENTR. DE RECUP.MED.'!E88</f>
        <v>0</v>
      </c>
      <c r="F88" s="103"/>
      <c r="G88" s="103"/>
      <c r="H88" s="103"/>
      <c r="I88" s="103"/>
      <c r="J88" s="103"/>
      <c r="K88" s="104"/>
      <c r="L88" s="103"/>
      <c r="M88" s="105"/>
    </row>
    <row r="89" spans="1:13" s="4" customFormat="1" ht="38.25" hidden="1" customHeight="1" x14ac:dyDescent="0.2">
      <c r="A89" s="47">
        <v>78</v>
      </c>
      <c r="B89" s="100" t="s">
        <v>142</v>
      </c>
      <c r="C89" s="101" t="s">
        <v>143</v>
      </c>
      <c r="D89" s="102"/>
      <c r="E89" s="293">
        <f>'68.02.05.02 SF.NICOLAE'!E89+'CENTR. DE RECUP.MED.'!E89</f>
        <v>0</v>
      </c>
      <c r="F89" s="103"/>
      <c r="G89" s="103"/>
      <c r="H89" s="103"/>
      <c r="I89" s="103"/>
      <c r="J89" s="103"/>
      <c r="K89" s="104"/>
      <c r="L89" s="103"/>
      <c r="M89" s="105"/>
    </row>
    <row r="90" spans="1:13" s="4" customFormat="1" hidden="1" x14ac:dyDescent="0.2">
      <c r="A90" s="47">
        <v>79</v>
      </c>
      <c r="B90" s="106" t="s">
        <v>144</v>
      </c>
      <c r="C90" s="81" t="s">
        <v>145</v>
      </c>
      <c r="D90" s="107"/>
      <c r="E90" s="293">
        <f>'68.02.05.02 SF.NICOLAE'!E90+'CENTR. DE RECUP.MED.'!E90</f>
        <v>0</v>
      </c>
      <c r="F90" s="108"/>
      <c r="G90" s="108"/>
      <c r="H90" s="108"/>
      <c r="I90" s="108"/>
      <c r="J90" s="108"/>
      <c r="K90" s="109"/>
      <c r="L90" s="108"/>
      <c r="M90" s="110"/>
    </row>
    <row r="91" spans="1:13" s="4" customFormat="1" hidden="1" x14ac:dyDescent="0.2">
      <c r="A91" s="47">
        <v>80</v>
      </c>
      <c r="B91" s="35" t="s">
        <v>146</v>
      </c>
      <c r="C91" s="69" t="s">
        <v>147</v>
      </c>
      <c r="D91" s="96"/>
      <c r="E91" s="293">
        <f>'68.02.05.02 SF.NICOLAE'!E91+'CENTR. DE RECUP.MED.'!E91</f>
        <v>0</v>
      </c>
      <c r="F91" s="111"/>
      <c r="G91" s="111"/>
      <c r="H91" s="111"/>
      <c r="I91" s="111"/>
      <c r="J91" s="111"/>
      <c r="K91" s="112"/>
      <c r="L91" s="111"/>
      <c r="M91" s="113"/>
    </row>
    <row r="92" spans="1:13" s="4" customFormat="1" hidden="1" x14ac:dyDescent="0.2">
      <c r="A92" s="47">
        <v>81</v>
      </c>
      <c r="B92" s="55" t="s">
        <v>148</v>
      </c>
      <c r="C92" s="56" t="s">
        <v>149</v>
      </c>
      <c r="D92" s="114"/>
      <c r="E92" s="293">
        <f>'68.02.05.02 SF.NICOLAE'!E92+'CENTR. DE RECUP.MED.'!E92</f>
        <v>0</v>
      </c>
      <c r="F92" s="103">
        <f>F93</f>
        <v>0</v>
      </c>
      <c r="G92" s="103">
        <f>G93</f>
        <v>0</v>
      </c>
      <c r="H92" s="103">
        <f>H93</f>
        <v>0</v>
      </c>
      <c r="I92" s="103">
        <f>I93</f>
        <v>0</v>
      </c>
      <c r="J92" s="103">
        <f>J93</f>
        <v>0</v>
      </c>
      <c r="K92" s="104"/>
      <c r="L92" s="103"/>
      <c r="M92" s="105"/>
    </row>
    <row r="93" spans="1:13" s="4" customFormat="1" hidden="1" x14ac:dyDescent="0.2">
      <c r="A93" s="47">
        <v>82</v>
      </c>
      <c r="B93" s="115" t="s">
        <v>150</v>
      </c>
      <c r="C93" s="56" t="s">
        <v>151</v>
      </c>
      <c r="D93" s="114"/>
      <c r="E93" s="293">
        <f>'68.02.05.02 SF.NICOLAE'!E93+'CENTR. DE RECUP.MED.'!E93</f>
        <v>0</v>
      </c>
      <c r="F93" s="103">
        <f>F94+F107</f>
        <v>0</v>
      </c>
      <c r="G93" s="103">
        <f>G94+G107</f>
        <v>0</v>
      </c>
      <c r="H93" s="103">
        <f>H94+H107</f>
        <v>0</v>
      </c>
      <c r="I93" s="103">
        <f>I94+I107</f>
        <v>0</v>
      </c>
      <c r="J93" s="103">
        <f>J94+J107</f>
        <v>0</v>
      </c>
      <c r="K93" s="104"/>
      <c r="L93" s="103"/>
      <c r="M93" s="105"/>
    </row>
    <row r="94" spans="1:13" s="4" customFormat="1" hidden="1" x14ac:dyDescent="0.2">
      <c r="A94" s="47">
        <v>83</v>
      </c>
      <c r="B94" s="115" t="s">
        <v>152</v>
      </c>
      <c r="C94" s="56" t="s">
        <v>153</v>
      </c>
      <c r="D94" s="114"/>
      <c r="E94" s="293">
        <f>'68.02.05.02 SF.NICOLAE'!E94+'CENTR. DE RECUP.MED.'!E94</f>
        <v>0</v>
      </c>
      <c r="F94" s="103">
        <f>F95+F96+F97+F98+F100+F101</f>
        <v>0</v>
      </c>
      <c r="G94" s="103">
        <f>G95+G96+G97+G98+G100+G101</f>
        <v>0</v>
      </c>
      <c r="H94" s="103">
        <f>H95+H96+H97+H98+H100+H101</f>
        <v>0</v>
      </c>
      <c r="I94" s="103">
        <f>I95+I96+I97+I98+I100+I101</f>
        <v>0</v>
      </c>
      <c r="J94" s="103">
        <f>J95+J96+J97+J98+J100+J101</f>
        <v>0</v>
      </c>
      <c r="K94" s="104"/>
      <c r="L94" s="103"/>
      <c r="M94" s="105"/>
    </row>
    <row r="95" spans="1:13" s="4" customFormat="1" hidden="1" x14ac:dyDescent="0.2">
      <c r="A95" s="47">
        <v>84</v>
      </c>
      <c r="B95" s="116" t="s">
        <v>154</v>
      </c>
      <c r="C95" s="41"/>
      <c r="D95" s="117"/>
      <c r="E95" s="293">
        <f>'68.02.05.02 SF.NICOLAE'!E95+'CENTR. DE RECUP.MED.'!E95</f>
        <v>0</v>
      </c>
      <c r="F95" s="103"/>
      <c r="G95" s="103"/>
      <c r="H95" s="103"/>
      <c r="I95" s="103"/>
      <c r="J95" s="103"/>
      <c r="K95" s="118"/>
      <c r="L95" s="103"/>
      <c r="M95" s="105"/>
    </row>
    <row r="96" spans="1:13" s="4" customFormat="1" hidden="1" x14ac:dyDescent="0.2">
      <c r="A96" s="47">
        <v>85</v>
      </c>
      <c r="B96" s="116" t="s">
        <v>155</v>
      </c>
      <c r="C96" s="41"/>
      <c r="D96" s="117"/>
      <c r="E96" s="293">
        <f>'68.02.05.02 SF.NICOLAE'!E96+'CENTR. DE RECUP.MED.'!E96</f>
        <v>0</v>
      </c>
      <c r="F96" s="103"/>
      <c r="G96" s="103"/>
      <c r="H96" s="103"/>
      <c r="I96" s="103"/>
      <c r="J96" s="103"/>
      <c r="K96" s="118"/>
      <c r="L96" s="103"/>
      <c r="M96" s="105"/>
    </row>
    <row r="97" spans="1:13" s="4" customFormat="1" hidden="1" x14ac:dyDescent="0.2">
      <c r="A97" s="47">
        <v>86</v>
      </c>
      <c r="B97" s="116" t="s">
        <v>156</v>
      </c>
      <c r="C97" s="41"/>
      <c r="D97" s="117"/>
      <c r="E97" s="293">
        <f>'68.02.05.02 SF.NICOLAE'!E97+'CENTR. DE RECUP.MED.'!E97</f>
        <v>0</v>
      </c>
      <c r="F97" s="103"/>
      <c r="G97" s="103"/>
      <c r="H97" s="103"/>
      <c r="I97" s="103"/>
      <c r="J97" s="103"/>
      <c r="K97" s="118"/>
      <c r="L97" s="103"/>
      <c r="M97" s="105"/>
    </row>
    <row r="98" spans="1:13" s="4" customFormat="1" hidden="1" x14ac:dyDescent="0.2">
      <c r="A98" s="47">
        <v>87</v>
      </c>
      <c r="B98" s="119" t="s">
        <v>157</v>
      </c>
      <c r="C98" s="41"/>
      <c r="D98" s="117"/>
      <c r="E98" s="293">
        <f>'68.02.05.02 SF.NICOLAE'!E98+'CENTR. DE RECUP.MED.'!E98</f>
        <v>0</v>
      </c>
      <c r="F98" s="103"/>
      <c r="G98" s="103"/>
      <c r="H98" s="103"/>
      <c r="I98" s="103"/>
      <c r="J98" s="103"/>
      <c r="K98" s="118"/>
      <c r="L98" s="103"/>
      <c r="M98" s="105"/>
    </row>
    <row r="99" spans="1:13" s="4" customFormat="1" hidden="1" x14ac:dyDescent="0.2">
      <c r="A99" s="47">
        <v>88</v>
      </c>
      <c r="B99" s="120" t="s">
        <v>158</v>
      </c>
      <c r="C99" s="41"/>
      <c r="D99" s="117"/>
      <c r="E99" s="293">
        <f>'68.02.05.02 SF.NICOLAE'!E99+'CENTR. DE RECUP.MED.'!E99</f>
        <v>0</v>
      </c>
      <c r="F99" s="103"/>
      <c r="G99" s="103"/>
      <c r="H99" s="103"/>
      <c r="I99" s="103"/>
      <c r="J99" s="103"/>
      <c r="K99" s="118"/>
      <c r="L99" s="103"/>
      <c r="M99" s="105"/>
    </row>
    <row r="100" spans="1:13" s="4" customFormat="1" hidden="1" x14ac:dyDescent="0.2">
      <c r="A100" s="47">
        <v>89</v>
      </c>
      <c r="B100" s="121" t="s">
        <v>159</v>
      </c>
      <c r="C100" s="41"/>
      <c r="D100" s="117"/>
      <c r="E100" s="293">
        <f>'68.02.05.02 SF.NICOLAE'!E100+'CENTR. DE RECUP.MED.'!E100</f>
        <v>0</v>
      </c>
      <c r="F100" s="103"/>
      <c r="G100" s="103"/>
      <c r="H100" s="103"/>
      <c r="I100" s="103"/>
      <c r="J100" s="103"/>
      <c r="K100" s="118"/>
      <c r="L100" s="103"/>
      <c r="M100" s="105"/>
    </row>
    <row r="101" spans="1:13" s="4" customFormat="1" hidden="1" x14ac:dyDescent="0.2">
      <c r="A101" s="47">
        <v>90</v>
      </c>
      <c r="B101" s="122" t="s">
        <v>160</v>
      </c>
      <c r="C101" s="41"/>
      <c r="D101" s="117"/>
      <c r="E101" s="293">
        <f>'68.02.05.02 SF.NICOLAE'!E101+'CENTR. DE RECUP.MED.'!E101</f>
        <v>0</v>
      </c>
      <c r="F101" s="103"/>
      <c r="G101" s="103"/>
      <c r="H101" s="103"/>
      <c r="I101" s="103"/>
      <c r="J101" s="103"/>
      <c r="K101" s="118"/>
      <c r="L101" s="103"/>
      <c r="M101" s="105"/>
    </row>
    <row r="102" spans="1:13" s="4" customFormat="1" hidden="1" x14ac:dyDescent="0.2">
      <c r="A102" s="47">
        <v>91</v>
      </c>
      <c r="B102" s="122" t="s">
        <v>161</v>
      </c>
      <c r="C102" s="41"/>
      <c r="D102" s="117"/>
      <c r="E102" s="293">
        <f>'68.02.05.02 SF.NICOLAE'!E102+'CENTR. DE RECUP.MED.'!E102</f>
        <v>0</v>
      </c>
      <c r="F102" s="103"/>
      <c r="G102" s="103"/>
      <c r="H102" s="103"/>
      <c r="I102" s="103"/>
      <c r="J102" s="103"/>
      <c r="K102" s="104"/>
      <c r="L102" s="103"/>
      <c r="M102" s="105"/>
    </row>
    <row r="103" spans="1:13" s="4" customFormat="1" hidden="1" x14ac:dyDescent="0.2">
      <c r="A103" s="47">
        <v>92</v>
      </c>
      <c r="B103" s="4" t="s">
        <v>162</v>
      </c>
      <c r="C103" s="41"/>
      <c r="D103" s="117"/>
      <c r="E103" s="293">
        <f>'68.02.05.02 SF.NICOLAE'!E103+'CENTR. DE RECUP.MED.'!E103</f>
        <v>0</v>
      </c>
      <c r="F103" s="103"/>
      <c r="G103" s="103"/>
      <c r="H103" s="103"/>
      <c r="I103" s="103"/>
      <c r="J103" s="103"/>
      <c r="K103" s="104"/>
      <c r="L103" s="103"/>
      <c r="M103" s="105"/>
    </row>
    <row r="104" spans="1:13" s="4" customFormat="1" hidden="1" x14ac:dyDescent="0.2">
      <c r="A104" s="47">
        <v>93</v>
      </c>
      <c r="B104" s="122" t="s">
        <v>163</v>
      </c>
      <c r="C104" s="41"/>
      <c r="D104" s="117"/>
      <c r="E104" s="293">
        <f>'68.02.05.02 SF.NICOLAE'!E104+'CENTR. DE RECUP.MED.'!E104</f>
        <v>0</v>
      </c>
      <c r="F104" s="103"/>
      <c r="G104" s="103"/>
      <c r="H104" s="103"/>
      <c r="I104" s="103"/>
      <c r="J104" s="103"/>
      <c r="K104" s="104"/>
      <c r="L104" s="103"/>
      <c r="M104" s="105"/>
    </row>
    <row r="105" spans="1:13" s="4" customFormat="1" hidden="1" x14ac:dyDescent="0.2">
      <c r="A105" s="47">
        <v>94</v>
      </c>
      <c r="B105" s="122" t="s">
        <v>164</v>
      </c>
      <c r="C105" s="41"/>
      <c r="D105" s="117"/>
      <c r="E105" s="293">
        <f>'68.02.05.02 SF.NICOLAE'!E105+'CENTR. DE RECUP.MED.'!E105</f>
        <v>0</v>
      </c>
      <c r="F105" s="103"/>
      <c r="G105" s="103"/>
      <c r="H105" s="103"/>
      <c r="I105" s="103"/>
      <c r="J105" s="103"/>
      <c r="K105" s="104"/>
      <c r="L105" s="103"/>
      <c r="M105" s="105"/>
    </row>
    <row r="106" spans="1:13" s="4" customFormat="1" hidden="1" x14ac:dyDescent="0.2">
      <c r="A106" s="47">
        <v>95</v>
      </c>
      <c r="B106" s="122"/>
      <c r="C106" s="41"/>
      <c r="D106" s="117"/>
      <c r="E106" s="293">
        <f>'68.02.05.02 SF.NICOLAE'!E106+'CENTR. DE RECUP.MED.'!E106</f>
        <v>0</v>
      </c>
      <c r="F106" s="103"/>
      <c r="G106" s="103"/>
      <c r="H106" s="103"/>
      <c r="I106" s="103"/>
      <c r="J106" s="103"/>
      <c r="K106" s="104"/>
      <c r="L106" s="103"/>
      <c r="M106" s="105"/>
    </row>
    <row r="107" spans="1:13" s="4" customFormat="1" hidden="1" x14ac:dyDescent="0.2">
      <c r="A107" s="47">
        <v>96</v>
      </c>
      <c r="B107" s="123" t="s">
        <v>165</v>
      </c>
      <c r="C107" s="56" t="s">
        <v>166</v>
      </c>
      <c r="D107" s="114"/>
      <c r="E107" s="293">
        <f>'68.02.05.02 SF.NICOLAE'!E107+'CENTR. DE RECUP.MED.'!E107</f>
        <v>0</v>
      </c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3" s="4" customFormat="1" hidden="1" x14ac:dyDescent="0.2">
      <c r="A108" s="47">
        <v>97</v>
      </c>
      <c r="B108" s="124" t="s">
        <v>167</v>
      </c>
      <c r="C108" s="41"/>
      <c r="D108" s="117"/>
      <c r="E108" s="293">
        <f>'68.02.05.02 SF.NICOLAE'!E108+'CENTR. DE RECUP.MED.'!E108</f>
        <v>0</v>
      </c>
      <c r="F108" s="103"/>
      <c r="G108" s="103"/>
      <c r="H108" s="103"/>
      <c r="I108" s="103"/>
      <c r="J108" s="103"/>
      <c r="K108" s="118"/>
      <c r="L108" s="103"/>
      <c r="M108" s="105"/>
    </row>
    <row r="109" spans="1:13" s="4" customFormat="1" hidden="1" x14ac:dyDescent="0.2">
      <c r="A109" s="47">
        <v>98</v>
      </c>
      <c r="B109" s="125" t="s">
        <v>168</v>
      </c>
      <c r="C109" s="41"/>
      <c r="D109" s="117"/>
      <c r="E109" s="293">
        <f>'68.02.05.02 SF.NICOLAE'!E109+'CENTR. DE RECUP.MED.'!E109</f>
        <v>0</v>
      </c>
      <c r="F109" s="103"/>
      <c r="G109" s="103"/>
      <c r="H109" s="103"/>
      <c r="I109" s="103"/>
      <c r="J109" s="103"/>
      <c r="K109" s="118"/>
      <c r="L109" s="103"/>
      <c r="M109" s="105"/>
    </row>
    <row r="110" spans="1:13" s="4" customFormat="1" hidden="1" x14ac:dyDescent="0.2">
      <c r="A110" s="47">
        <v>99</v>
      </c>
      <c r="B110" s="116" t="s">
        <v>169</v>
      </c>
      <c r="C110" s="41"/>
      <c r="D110" s="117"/>
      <c r="E110" s="293">
        <f>'68.02.05.02 SF.NICOLAE'!E110+'CENTR. DE RECUP.MED.'!E110</f>
        <v>0</v>
      </c>
      <c r="F110" s="103"/>
      <c r="G110" s="103"/>
      <c r="H110" s="103"/>
      <c r="I110" s="103"/>
      <c r="J110" s="103"/>
      <c r="K110" s="118"/>
      <c r="L110" s="103"/>
      <c r="M110" s="105"/>
    </row>
    <row r="111" spans="1:13" s="4" customFormat="1" hidden="1" x14ac:dyDescent="0.2">
      <c r="A111" s="47">
        <v>100</v>
      </c>
      <c r="B111" s="116" t="s">
        <v>170</v>
      </c>
      <c r="C111" s="41"/>
      <c r="D111" s="117"/>
      <c r="E111" s="293">
        <f>'68.02.05.02 SF.NICOLAE'!E111+'CENTR. DE RECUP.MED.'!E111</f>
        <v>0</v>
      </c>
      <c r="F111" s="103"/>
      <c r="G111" s="103"/>
      <c r="H111" s="103"/>
      <c r="I111" s="103"/>
      <c r="J111" s="103"/>
      <c r="K111" s="104"/>
      <c r="L111" s="103"/>
      <c r="M111" s="105"/>
    </row>
    <row r="112" spans="1:13" s="4" customFormat="1" ht="25.5" hidden="1" x14ac:dyDescent="0.2">
      <c r="A112" s="47">
        <v>101</v>
      </c>
      <c r="B112" s="126" t="s">
        <v>171</v>
      </c>
      <c r="C112" s="101" t="s">
        <v>172</v>
      </c>
      <c r="D112" s="102"/>
      <c r="E112" s="293">
        <f>'68.02.05.02 SF.NICOLAE'!E112+'CENTR. DE RECUP.MED.'!E112</f>
        <v>0</v>
      </c>
      <c r="F112" s="103">
        <f>F117</f>
        <v>0</v>
      </c>
      <c r="G112" s="103">
        <f>G117</f>
        <v>0</v>
      </c>
      <c r="H112" s="103">
        <f>H117</f>
        <v>0</v>
      </c>
      <c r="I112" s="103">
        <f>I117</f>
        <v>0</v>
      </c>
      <c r="J112" s="103">
        <f>J117</f>
        <v>0</v>
      </c>
      <c r="K112" s="104"/>
      <c r="L112" s="103"/>
      <c r="M112" s="105"/>
    </row>
    <row r="113" spans="1:13" s="4" customFormat="1" hidden="1" x14ac:dyDescent="0.2">
      <c r="A113" s="47">
        <v>102</v>
      </c>
      <c r="B113" s="4" t="s">
        <v>127</v>
      </c>
      <c r="C113" s="56" t="s">
        <v>173</v>
      </c>
      <c r="D113" s="114"/>
      <c r="E113" s="293">
        <f>'68.02.05.02 SF.NICOLAE'!E113+'CENTR. DE RECUP.MED.'!E113</f>
        <v>0</v>
      </c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hidden="1" x14ac:dyDescent="0.2">
      <c r="A114" s="47">
        <v>103</v>
      </c>
      <c r="B114" s="73" t="s">
        <v>174</v>
      </c>
      <c r="C114" s="56"/>
      <c r="D114" s="114"/>
      <c r="E114" s="293">
        <f>'68.02.05.02 SF.NICOLAE'!E114+'CENTR. DE RECUP.MED.'!E114</f>
        <v>0</v>
      </c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hidden="1" x14ac:dyDescent="0.2">
      <c r="A115" s="47">
        <v>104</v>
      </c>
      <c r="B115" s="73" t="s">
        <v>175</v>
      </c>
      <c r="C115" s="56"/>
      <c r="D115" s="114"/>
      <c r="E115" s="293">
        <f>'68.02.05.02 SF.NICOLAE'!E115+'CENTR. DE RECUP.MED.'!E115</f>
        <v>0</v>
      </c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hidden="1" x14ac:dyDescent="0.2">
      <c r="A116" s="47">
        <v>105</v>
      </c>
      <c r="B116" s="73" t="s">
        <v>176</v>
      </c>
      <c r="C116" s="56" t="s">
        <v>177</v>
      </c>
      <c r="D116" s="114"/>
      <c r="E116" s="293">
        <f>'68.02.05.02 SF.NICOLAE'!E116+'CENTR. DE RECUP.MED.'!E116</f>
        <v>0</v>
      </c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hidden="1" x14ac:dyDescent="0.2">
      <c r="A117" s="47">
        <v>106</v>
      </c>
      <c r="B117" s="127" t="s">
        <v>178</v>
      </c>
      <c r="C117" s="128" t="s">
        <v>179</v>
      </c>
      <c r="D117" s="129"/>
      <c r="E117" s="293">
        <f>'68.02.05.02 SF.NICOLAE'!E117+'CENTR. DE RECUP.MED.'!E117</f>
        <v>0</v>
      </c>
      <c r="F117" s="132">
        <f>G117+H117+I117+J117</f>
        <v>0</v>
      </c>
      <c r="G117" s="132"/>
      <c r="H117" s="132"/>
      <c r="I117" s="132"/>
      <c r="J117" s="132"/>
      <c r="K117" s="131"/>
      <c r="L117" s="132"/>
      <c r="M117" s="133"/>
    </row>
    <row r="118" spans="1:13" s="135" customFormat="1" x14ac:dyDescent="0.2">
      <c r="A118" s="47">
        <v>107</v>
      </c>
      <c r="B118" s="24" t="s">
        <v>180</v>
      </c>
      <c r="C118" s="25"/>
      <c r="D118" s="27" t="e">
        <f ca="1">'68.02.05.02 SF.NICOLAE'!D118+'CENTR. DE RECUP.MED.'!D118</f>
        <v>#VALUE!</v>
      </c>
      <c r="E118" s="303">
        <f>'68.02.05.02 SF.NICOLAE'!E118+'CENTR. DE RECUP.MED.'!E118</f>
        <v>0</v>
      </c>
      <c r="F118" s="303">
        <f>'68.02.05.02 SF.NICOLAE'!F118+'CENTR. DE RECUP.MED.'!F118</f>
        <v>0</v>
      </c>
      <c r="G118" s="303">
        <f>'68.02.05.02 SF.NICOLAE'!G118+'CENTR. DE RECUP.MED.'!G118</f>
        <v>0</v>
      </c>
      <c r="H118" s="303">
        <f>'68.02.05.02 SF.NICOLAE'!H118+'CENTR. DE RECUP.MED.'!H118</f>
        <v>0</v>
      </c>
      <c r="I118" s="303">
        <f>'68.02.05.02 SF.NICOLAE'!I118+'CENTR. DE RECUP.MED.'!I118</f>
        <v>0</v>
      </c>
      <c r="J118" s="303">
        <f>'68.02.05.02 SF.NICOLAE'!J118+'CENTR. DE RECUP.MED.'!J118</f>
        <v>0</v>
      </c>
      <c r="K118" s="98"/>
      <c r="L118" s="97"/>
      <c r="M118" s="99"/>
    </row>
    <row r="119" spans="1:13" s="4" customFormat="1" ht="25.5" hidden="1" x14ac:dyDescent="0.2">
      <c r="A119" s="47">
        <v>108</v>
      </c>
      <c r="B119" s="126" t="s">
        <v>181</v>
      </c>
      <c r="C119" s="136" t="s">
        <v>182</v>
      </c>
      <c r="D119" s="27">
        <f>'68.02.05.02 SF.NICOLAE'!D119+'CENTR. DE RECUP.MED.'!D119</f>
        <v>0</v>
      </c>
      <c r="E119" s="303">
        <f>'68.02.05.02 SF.NICOLAE'!E119+'CENTR. DE RECUP.MED.'!E119</f>
        <v>0</v>
      </c>
      <c r="F119" s="304"/>
      <c r="G119" s="304"/>
      <c r="H119" s="304"/>
      <c r="I119" s="304"/>
      <c r="J119" s="304"/>
      <c r="K119" s="118"/>
      <c r="L119" s="103"/>
      <c r="M119" s="105"/>
    </row>
    <row r="120" spans="1:13" s="4" customFormat="1" hidden="1" x14ac:dyDescent="0.2">
      <c r="A120" s="47">
        <v>109</v>
      </c>
      <c r="B120" s="55" t="s">
        <v>183</v>
      </c>
      <c r="C120" s="56" t="s">
        <v>184</v>
      </c>
      <c r="D120" s="27">
        <f>'68.02.05.02 SF.NICOLAE'!D120+'CENTR. DE RECUP.MED.'!D120</f>
        <v>0</v>
      </c>
      <c r="E120" s="303">
        <f>'68.02.05.02 SF.NICOLAE'!E120+'CENTR. DE RECUP.MED.'!E120</f>
        <v>0</v>
      </c>
      <c r="F120" s="304"/>
      <c r="G120" s="304"/>
      <c r="H120" s="304"/>
      <c r="I120" s="304"/>
      <c r="J120" s="304"/>
      <c r="K120" s="118"/>
      <c r="L120" s="103"/>
      <c r="M120" s="105"/>
    </row>
    <row r="121" spans="1:13" s="139" customFormat="1" hidden="1" x14ac:dyDescent="0.2">
      <c r="A121" s="47">
        <v>110</v>
      </c>
      <c r="B121" s="138" t="s">
        <v>185</v>
      </c>
      <c r="C121" s="41" t="s">
        <v>186</v>
      </c>
      <c r="D121" s="27">
        <f>'68.02.05.02 SF.NICOLAE'!D121+'CENTR. DE RECUP.MED.'!D121</f>
        <v>0</v>
      </c>
      <c r="E121" s="303">
        <f>'68.02.05.02 SF.NICOLAE'!E121+'CENTR. DE RECUP.MED.'!E121</f>
        <v>0</v>
      </c>
      <c r="F121" s="304"/>
      <c r="G121" s="304"/>
      <c r="H121" s="304"/>
      <c r="I121" s="304"/>
      <c r="J121" s="304"/>
      <c r="K121" s="118"/>
      <c r="L121" s="103"/>
      <c r="M121" s="105"/>
    </row>
    <row r="122" spans="1:13" s="139" customFormat="1" hidden="1" x14ac:dyDescent="0.2">
      <c r="A122" s="47">
        <v>111</v>
      </c>
      <c r="B122" s="138" t="s">
        <v>187</v>
      </c>
      <c r="C122" s="56" t="s">
        <v>188</v>
      </c>
      <c r="D122" s="27">
        <f>'68.02.05.02 SF.NICOLAE'!D122+'CENTR. DE RECUP.MED.'!D122</f>
        <v>0</v>
      </c>
      <c r="E122" s="303">
        <f>'68.02.05.02 SF.NICOLAE'!E122+'CENTR. DE RECUP.MED.'!E122</f>
        <v>0</v>
      </c>
      <c r="F122" s="304"/>
      <c r="G122" s="304"/>
      <c r="H122" s="304"/>
      <c r="I122" s="304"/>
      <c r="J122" s="304"/>
      <c r="K122" s="104"/>
      <c r="L122" s="103"/>
      <c r="M122" s="105"/>
    </row>
    <row r="123" spans="1:13" s="139" customFormat="1" hidden="1" x14ac:dyDescent="0.2">
      <c r="A123" s="47">
        <v>112</v>
      </c>
      <c r="B123" s="138" t="s">
        <v>189</v>
      </c>
      <c r="C123" s="56" t="s">
        <v>190</v>
      </c>
      <c r="D123" s="27">
        <f>'68.02.05.02 SF.NICOLAE'!D123+'CENTR. DE RECUP.MED.'!D123</f>
        <v>0</v>
      </c>
      <c r="E123" s="303">
        <f>'68.02.05.02 SF.NICOLAE'!E123+'CENTR. DE RECUP.MED.'!E123</f>
        <v>0</v>
      </c>
      <c r="F123" s="304"/>
      <c r="G123" s="304"/>
      <c r="H123" s="304"/>
      <c r="I123" s="304"/>
      <c r="J123" s="304"/>
      <c r="K123" s="104"/>
      <c r="L123" s="103"/>
      <c r="M123" s="105"/>
    </row>
    <row r="124" spans="1:13" s="139" customFormat="1" hidden="1" x14ac:dyDescent="0.2">
      <c r="A124" s="47">
        <v>113</v>
      </c>
      <c r="B124" s="138" t="s">
        <v>191</v>
      </c>
      <c r="C124" s="41" t="s">
        <v>192</v>
      </c>
      <c r="D124" s="27">
        <f>'68.02.05.02 SF.NICOLAE'!D124+'CENTR. DE RECUP.MED.'!D124</f>
        <v>0</v>
      </c>
      <c r="E124" s="303">
        <f>'68.02.05.02 SF.NICOLAE'!E124+'CENTR. DE RECUP.MED.'!E124</f>
        <v>0</v>
      </c>
      <c r="F124" s="304"/>
      <c r="G124" s="304"/>
      <c r="H124" s="304"/>
      <c r="I124" s="304"/>
      <c r="J124" s="304"/>
      <c r="K124" s="104"/>
      <c r="L124" s="103"/>
      <c r="M124" s="105"/>
    </row>
    <row r="125" spans="1:13" s="139" customFormat="1" hidden="1" x14ac:dyDescent="0.2">
      <c r="A125" s="47">
        <v>114</v>
      </c>
      <c r="B125" s="138" t="s">
        <v>193</v>
      </c>
      <c r="C125" s="56" t="s">
        <v>194</v>
      </c>
      <c r="D125" s="27">
        <f>'68.02.05.02 SF.NICOLAE'!D125+'CENTR. DE RECUP.MED.'!D125</f>
        <v>0</v>
      </c>
      <c r="E125" s="303">
        <f>'68.02.05.02 SF.NICOLAE'!E125+'CENTR. DE RECUP.MED.'!E125</f>
        <v>0</v>
      </c>
      <c r="F125" s="304"/>
      <c r="G125" s="304"/>
      <c r="H125" s="304"/>
      <c r="I125" s="304"/>
      <c r="J125" s="304"/>
      <c r="K125" s="104"/>
      <c r="L125" s="103"/>
      <c r="M125" s="105"/>
    </row>
    <row r="126" spans="1:13" s="139" customFormat="1" hidden="1" x14ac:dyDescent="0.2">
      <c r="A126" s="47">
        <v>115</v>
      </c>
      <c r="B126" s="138" t="s">
        <v>195</v>
      </c>
      <c r="C126" s="41" t="s">
        <v>196</v>
      </c>
      <c r="D126" s="27">
        <f>'68.02.05.02 SF.NICOLAE'!D126+'CENTR. DE RECUP.MED.'!D126</f>
        <v>0</v>
      </c>
      <c r="E126" s="303">
        <f>'68.02.05.02 SF.NICOLAE'!E126+'CENTR. DE RECUP.MED.'!E126</f>
        <v>0</v>
      </c>
      <c r="F126" s="304"/>
      <c r="G126" s="304"/>
      <c r="H126" s="304"/>
      <c r="I126" s="304"/>
      <c r="J126" s="304"/>
      <c r="K126" s="104"/>
      <c r="L126" s="103"/>
      <c r="M126" s="105"/>
    </row>
    <row r="127" spans="1:13" s="139" customFormat="1" hidden="1" x14ac:dyDescent="0.2">
      <c r="A127" s="47">
        <v>116</v>
      </c>
      <c r="B127" s="138" t="s">
        <v>191</v>
      </c>
      <c r="C127" s="41" t="s">
        <v>197</v>
      </c>
      <c r="D127" s="27">
        <f>'68.02.05.02 SF.NICOLAE'!D127+'CENTR. DE RECUP.MED.'!D127</f>
        <v>0</v>
      </c>
      <c r="E127" s="303">
        <f>'68.02.05.02 SF.NICOLAE'!E127+'CENTR. DE RECUP.MED.'!E127</f>
        <v>0</v>
      </c>
      <c r="F127" s="304"/>
      <c r="G127" s="304"/>
      <c r="H127" s="304"/>
      <c r="I127" s="304"/>
      <c r="J127" s="304"/>
      <c r="K127" s="104"/>
      <c r="L127" s="103"/>
      <c r="M127" s="105"/>
    </row>
    <row r="128" spans="1:13" s="139" customFormat="1" x14ac:dyDescent="0.2">
      <c r="A128" s="47">
        <v>117</v>
      </c>
      <c r="B128" s="138" t="s">
        <v>198</v>
      </c>
      <c r="C128" s="56" t="s">
        <v>199</v>
      </c>
      <c r="D128" s="27">
        <f>'68.02.05.02 SF.NICOLAE'!D128+'CENTR. DE RECUP.MED.'!D128</f>
        <v>0</v>
      </c>
      <c r="E128" s="303">
        <f>'68.02.05.02 SF.NICOLAE'!E128+'CENTR. DE RECUP.MED.'!E128</f>
        <v>0</v>
      </c>
      <c r="F128" s="303">
        <f>'68.02.05.02 SF.NICOLAE'!F128+'CENTR. DE RECUP.MED.'!F128</f>
        <v>0</v>
      </c>
      <c r="G128" s="303">
        <f>'68.02.05.02 SF.NICOLAE'!G128+'CENTR. DE RECUP.MED.'!G128</f>
        <v>0</v>
      </c>
      <c r="H128" s="303">
        <f>'68.02.05.02 SF.NICOLAE'!H128+'CENTR. DE RECUP.MED.'!H128</f>
        <v>0</v>
      </c>
      <c r="I128" s="303">
        <f>'68.02.05.02 SF.NICOLAE'!I128+'CENTR. DE RECUP.MED.'!I128</f>
        <v>0</v>
      </c>
      <c r="J128" s="303">
        <f>'68.02.05.02 SF.NICOLAE'!J128+'CENTR. DE RECUP.MED.'!J128</f>
        <v>0</v>
      </c>
      <c r="K128" s="104"/>
      <c r="L128" s="103"/>
      <c r="M128" s="105"/>
    </row>
    <row r="129" spans="1:15" s="139" customFormat="1" x14ac:dyDescent="0.2">
      <c r="A129" s="47">
        <v>118</v>
      </c>
      <c r="B129" s="138" t="s">
        <v>200</v>
      </c>
      <c r="C129" s="41" t="s">
        <v>201</v>
      </c>
      <c r="D129" s="27">
        <f>'68.02.05.02 SF.NICOLAE'!D129+'CENTR. DE RECUP.MED.'!D129</f>
        <v>0</v>
      </c>
      <c r="E129" s="303">
        <f>'68.02.05.02 SF.NICOLAE'!E129+'CENTR. DE RECUP.MED.'!E129</f>
        <v>0</v>
      </c>
      <c r="F129" s="303">
        <f>'68.02.05.02 SF.NICOLAE'!F129+'CENTR. DE RECUP.MED.'!F129</f>
        <v>0</v>
      </c>
      <c r="G129" s="303">
        <f>'68.02.05.02 SF.NICOLAE'!G129+'CENTR. DE RECUP.MED.'!G129</f>
        <v>0</v>
      </c>
      <c r="H129" s="303">
        <f>'68.02.05.02 SF.NICOLAE'!H129+'CENTR. DE RECUP.MED.'!H129</f>
        <v>0</v>
      </c>
      <c r="I129" s="303">
        <f>'68.02.05.02 SF.NICOLAE'!I129+'CENTR. DE RECUP.MED.'!I129</f>
        <v>0</v>
      </c>
      <c r="J129" s="303">
        <f>'68.02.05.02 SF.NICOLAE'!J129+'CENTR. DE RECUP.MED.'!J129</f>
        <v>0</v>
      </c>
      <c r="K129" s="104"/>
      <c r="L129" s="103"/>
      <c r="M129" s="105"/>
    </row>
    <row r="130" spans="1:15" s="139" customFormat="1" x14ac:dyDescent="0.2">
      <c r="A130" s="47">
        <v>119</v>
      </c>
      <c r="B130" s="138" t="s">
        <v>202</v>
      </c>
      <c r="C130" s="41" t="s">
        <v>203</v>
      </c>
      <c r="D130" s="27">
        <f>'68.02.05.02 SF.NICOLAE'!D130+'CENTR. DE RECUP.MED.'!D130</f>
        <v>0</v>
      </c>
      <c r="E130" s="303">
        <f>'68.02.05.02 SF.NICOLAE'!E130+'CENTR. DE RECUP.MED.'!E130</f>
        <v>0</v>
      </c>
      <c r="F130" s="303">
        <f>'68.02.05.02 SF.NICOLAE'!F130+'CENTR. DE RECUP.MED.'!F130</f>
        <v>0</v>
      </c>
      <c r="G130" s="303">
        <f>'68.02.05.02 SF.NICOLAE'!G130+'CENTR. DE RECUP.MED.'!G130</f>
        <v>0</v>
      </c>
      <c r="H130" s="303">
        <f>'68.02.05.02 SF.NICOLAE'!H130+'CENTR. DE RECUP.MED.'!H130</f>
        <v>0</v>
      </c>
      <c r="I130" s="303">
        <f>'68.02.05.02 SF.NICOLAE'!I130+'CENTR. DE RECUP.MED.'!I130</f>
        <v>0</v>
      </c>
      <c r="J130" s="303">
        <f>'68.02.05.02 SF.NICOLAE'!J130+'CENTR. DE RECUP.MED.'!J130</f>
        <v>0</v>
      </c>
      <c r="K130" s="104"/>
      <c r="L130" s="103"/>
      <c r="M130" s="105"/>
    </row>
    <row r="131" spans="1:15" s="139" customFormat="1" x14ac:dyDescent="0.2">
      <c r="A131" s="47">
        <v>120</v>
      </c>
      <c r="B131" s="138" t="s">
        <v>204</v>
      </c>
      <c r="C131" s="41" t="s">
        <v>205</v>
      </c>
      <c r="D131" s="27">
        <f>'68.02.05.02 SF.NICOLAE'!D131+'CENTR. DE RECUP.MED.'!D131</f>
        <v>0</v>
      </c>
      <c r="E131" s="303">
        <f>'68.02.05.02 SF.NICOLAE'!E131+'CENTR. DE RECUP.MED.'!E131</f>
        <v>0</v>
      </c>
      <c r="F131" s="303">
        <f>'68.02.05.02 SF.NICOLAE'!F131+'CENTR. DE RECUP.MED.'!F131</f>
        <v>0</v>
      </c>
      <c r="G131" s="303">
        <f>'68.02.05.02 SF.NICOLAE'!G131+'CENTR. DE RECUP.MED.'!G131</f>
        <v>0</v>
      </c>
      <c r="H131" s="303">
        <f>'68.02.05.02 SF.NICOLAE'!H131+'CENTR. DE RECUP.MED.'!H131</f>
        <v>0</v>
      </c>
      <c r="I131" s="303">
        <f>'68.02.05.02 SF.NICOLAE'!I131+'CENTR. DE RECUP.MED.'!I131</f>
        <v>0</v>
      </c>
      <c r="J131" s="303">
        <f>'68.02.05.02 SF.NICOLAE'!J131+'CENTR. DE RECUP.MED.'!J131</f>
        <v>0</v>
      </c>
      <c r="K131" s="104"/>
      <c r="L131" s="103"/>
      <c r="M131" s="105"/>
    </row>
    <row r="132" spans="1:15" s="4" customFormat="1" hidden="1" x14ac:dyDescent="0.2">
      <c r="A132" s="47">
        <v>121</v>
      </c>
      <c r="B132" s="140" t="s">
        <v>206</v>
      </c>
      <c r="C132" s="56" t="s">
        <v>207</v>
      </c>
      <c r="D132" s="114"/>
      <c r="E132" s="114"/>
      <c r="F132" s="103">
        <f t="shared" ref="F132:J133" si="0">F133</f>
        <v>0</v>
      </c>
      <c r="G132" s="103">
        <f t="shared" si="0"/>
        <v>0</v>
      </c>
      <c r="H132" s="103">
        <f t="shared" si="0"/>
        <v>0</v>
      </c>
      <c r="I132" s="103">
        <f t="shared" si="0"/>
        <v>0</v>
      </c>
      <c r="J132" s="103">
        <f t="shared" si="0"/>
        <v>0</v>
      </c>
      <c r="K132" s="104"/>
      <c r="L132" s="103"/>
      <c r="M132" s="105"/>
    </row>
    <row r="133" spans="1:15" s="4" customFormat="1" hidden="1" x14ac:dyDescent="0.2">
      <c r="A133" s="47">
        <v>122</v>
      </c>
      <c r="B133" s="55" t="s">
        <v>208</v>
      </c>
      <c r="C133" s="75">
        <v>71</v>
      </c>
      <c r="D133" s="141"/>
      <c r="E133" s="141"/>
      <c r="F133" s="103">
        <f t="shared" si="0"/>
        <v>0</v>
      </c>
      <c r="G133" s="103">
        <f t="shared" si="0"/>
        <v>0</v>
      </c>
      <c r="H133" s="103">
        <f t="shared" si="0"/>
        <v>0</v>
      </c>
      <c r="I133" s="103">
        <f t="shared" si="0"/>
        <v>0</v>
      </c>
      <c r="J133" s="103">
        <f t="shared" si="0"/>
        <v>0</v>
      </c>
      <c r="K133" s="104"/>
      <c r="L133" s="103"/>
      <c r="M133" s="105"/>
    </row>
    <row r="134" spans="1:15" s="4" customFormat="1" hidden="1" x14ac:dyDescent="0.2">
      <c r="A134" s="47">
        <v>123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47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47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47">
        <v>126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47">
        <v>127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idden="1" x14ac:dyDescent="0.2">
      <c r="A139" s="47">
        <v>128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32" t="s">
        <v>228</v>
      </c>
      <c r="L143" s="1132"/>
      <c r="M143" s="1132"/>
      <c r="N143" s="1132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32"/>
      <c r="J146" s="1132"/>
      <c r="K146" s="1132"/>
      <c r="L146" s="1132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E9:E10"/>
    <mergeCell ref="F9:F10"/>
    <mergeCell ref="G9:J9"/>
    <mergeCell ref="K9:M9"/>
    <mergeCell ref="K143:N143"/>
    <mergeCell ref="I146:L146"/>
    <mergeCell ref="B4:M4"/>
    <mergeCell ref="A5:M5"/>
    <mergeCell ref="A6:L6"/>
    <mergeCell ref="B7:K7"/>
    <mergeCell ref="A9:A10"/>
    <mergeCell ref="B9:B10"/>
    <mergeCell ref="C9:C10"/>
    <mergeCell ref="D9:D10"/>
  </mergeCells>
  <printOptions horizontalCentered="1"/>
  <pageMargins left="0.11805555555555555" right="0.11805555555555555" top="0.15763888888888888" bottom="0.1576388888888888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21</vt:i4>
      </vt:variant>
      <vt:variant>
        <vt:lpstr>Zone denumite</vt:lpstr>
      </vt:variant>
      <vt:variant>
        <vt:i4>20</vt:i4>
      </vt:variant>
    </vt:vector>
  </HeadingPairs>
  <TitlesOfParts>
    <vt:vector size="41" baseType="lpstr">
      <vt:lpstr>68.04-PERS.VARSTNICE</vt:lpstr>
      <vt:lpstr>68.02.05 CUMULAT AP+SF.NIC</vt:lpstr>
      <vt:lpstr>68.02.05.02- AP+IND+RAT</vt:lpstr>
      <vt:lpstr>68.02.05.02 SF.NICOLAE</vt:lpstr>
      <vt:lpstr>68.06 centralizat</vt:lpstr>
      <vt:lpstr>ASTRA</vt:lpstr>
      <vt:lpstr>VIOLE. DOM</vt:lpstr>
      <vt:lpstr>CCI+CARIEREI</vt:lpstr>
      <vt:lpstr>68.12 CENTRALIZATOR</vt:lpstr>
      <vt:lpstr>CENTR. DE RECUP.MED.</vt:lpstr>
      <vt:lpstr>68.15.01-AJ SOC</vt:lpstr>
      <vt:lpstr>68.15.02-CANTINA</vt:lpstr>
      <vt:lpstr>68.50.50 rest DAS+CPFA</vt:lpstr>
      <vt:lpstr>68.50.50.01-rest dss</vt:lpstr>
      <vt:lpstr>CPFA</vt:lpstr>
      <vt:lpstr>cumulat 6802</vt:lpstr>
      <vt:lpstr>cumulat 66</vt:lpstr>
      <vt:lpstr>cumulat 66.08 SAMUI+AMC</vt:lpstr>
      <vt:lpstr>SAMUI</vt:lpstr>
      <vt:lpstr>AMC</vt:lpstr>
      <vt:lpstr>CRM</vt:lpstr>
      <vt:lpstr>'68.02.05 CUMULAT AP+SF.NIC'!Zona_de_imprimat</vt:lpstr>
      <vt:lpstr>'68.02.05.02- AP+IND+RAT'!Zona_de_imprimat</vt:lpstr>
      <vt:lpstr>'68.02.05.02 SF.NICOLAE'!Zona_de_imprimat</vt:lpstr>
      <vt:lpstr>'68.04-PERS.VARSTNICE'!Zona_de_imprimat</vt:lpstr>
      <vt:lpstr>'68.06 centralizat'!Zona_de_imprimat</vt:lpstr>
      <vt:lpstr>'68.12 CENTRALIZATOR'!Zona_de_imprimat</vt:lpstr>
      <vt:lpstr>'68.15.01-AJ SOC'!Zona_de_imprimat</vt:lpstr>
      <vt:lpstr>'68.15.02-CANTINA'!Zona_de_imprimat</vt:lpstr>
      <vt:lpstr>'68.50.50 rest DAS+CPFA'!Zona_de_imprimat</vt:lpstr>
      <vt:lpstr>'68.50.50.01-rest dss'!Zona_de_imprimat</vt:lpstr>
      <vt:lpstr>AMC!Zona_de_imprimat</vt:lpstr>
      <vt:lpstr>ASTRA!Zona_de_imprimat</vt:lpstr>
      <vt:lpstr>'CCI+CARIEREI'!Zona_de_imprimat</vt:lpstr>
      <vt:lpstr>CPFA!Zona_de_imprimat</vt:lpstr>
      <vt:lpstr>CRM!Zona_de_imprimat</vt:lpstr>
      <vt:lpstr>'cumulat 66'!Zona_de_imprimat</vt:lpstr>
      <vt:lpstr>'cumulat 66.08 SAMUI+AMC'!Zona_de_imprimat</vt:lpstr>
      <vt:lpstr>'cumulat 6802'!Zona_de_imprimat</vt:lpstr>
      <vt:lpstr>SAMUI!Zona_de_imprimat</vt:lpstr>
      <vt:lpstr>'VIOLE. DOM'!Zona_de_imprimat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Madalina Craciun</dc:creator>
  <cp:lastModifiedBy>Das Brasov</cp:lastModifiedBy>
  <cp:lastPrinted>2025-08-06T06:32:17Z</cp:lastPrinted>
  <dcterms:created xsi:type="dcterms:W3CDTF">2024-01-18T19:39:01Z</dcterms:created>
  <dcterms:modified xsi:type="dcterms:W3CDTF">2025-08-14T12:57:07Z</dcterms:modified>
</cp:coreProperties>
</file>